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<sst xmlns="http://schemas.openxmlformats.org/spreadsheetml/2006/main" count="205" uniqueCount="193">
  <si>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</si>
  <si>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</si>
  <si>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</si>
  <si>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</si>
  <si>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</si>
  <si>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</si>
  <si>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</si>
  <si>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</si>
  <si>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</si>
  <si>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</si>
  <si>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</si>
  <si>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</si>
  <si>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</si>
  <si>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</si>
  <si>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</si>
  <si>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</si>
  <si>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</si>
  <si>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</si>
  <si>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</si>
  <si>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</si>
  <si>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</si>
  <si>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</si>
  <si>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</si>
  <si>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</si>
  <si>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</si>
  <si>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</si>
  <si>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</si>
  <si>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</si>
  <si>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</si>
  <si>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</si>
  <si>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</si>
  <si>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</si>
  <si>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</si>
  <si>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</si>
  <si>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</si>
  <si>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</si>
  <si>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</si>
  <si>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</si>
  <si>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</si>
  <si>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</si>
  <si>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</si>
  <si>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</si>
  <si>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</si>
  <si>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</si>
  <si>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</si>
  <si>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</si>
  <si>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</si>
  <si>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</si>
  <si>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</si>
  <si>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</si>
  <si>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</si>
  <si>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</si>
  <si>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</si>
  <si>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</si>
  <si>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</si>
  <si>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</si>
  <si>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</si>
  <si>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</si>
  <si>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</si>
  <si>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</si>
  <si>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</si>
  <si>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</si>
  <si>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</si>
  <si>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</si>
  <si>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</si>
  <si>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</si>
  <si>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</si>
  <si>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</si>
  <si>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</si>
  <si>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</si>
  <si>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</si>
  <si>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</si>
  <si>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</si>
  <si>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</si>
  <si>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</si>
  <si>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</si>
  <si>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</si>
  <si>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</si>
  <si>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</si>
  <si>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</si>
  <si>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</si>
  <si>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</si>
  <si>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</si>
  <si>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</si>
  <si>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</si>
  <si>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</si>
  <si>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</si>
  <si>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</si>
  <si>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</si>
  <si>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</si>
  <si>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</si>
  <si>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</si>
  <si>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</si>
  <si>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</si>
  <si>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</si>
  <si>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</si>
  <si>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</si>
  <si>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</si>
  <si>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</si>
  <si>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</si>
  <si>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</si>
  <si>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</si>
  <si>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</si>
  <si>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</si>
  <si>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</si>
  <si>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</si>
  <si>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</si>
  <si>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</si>
  <si>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</si>
  <si>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</si>
  <si>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</si>
  <si>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</si>
  <si>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</si>
  <si>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</si>
  <si>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</si>
  <si>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</si>
  <si>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</si>
  <si>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</si>
  <si>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</si>
  <si>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</si>
  <si>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</si>
  <si>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</si>
  <si>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</si>
  <si>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</si>
  <si>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</si>
  <si>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</si>
  <si>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</si>
  <si>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</si>
  <si>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</si>
  <si>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</si>
  <si>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</si>
  <si>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</si>
  <si>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</si>
  <si>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</si>
  <si>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</si>
  <si>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</si>
  <si>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</si>
  <si>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</si>
  <si>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</si>
  <si>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</si>
  <si>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</si>
  <si>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</si>
  <si>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</si>
  <si>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</si>
  <si>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</si>
  <si>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</si>
  <si>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</si>
  <si>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</si>
  <si>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</si>
  <si>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</si>
  <si>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</si>
  <si>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</si>
  <si>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</si>
  <si>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</si>
  <si>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</si>
  <si>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</si>
  <si>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</si>
  <si>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</si>
  <si>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</si>
  <si>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</si>
  <si>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</si>
  <si>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</si>
  <si>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</si>
  <si>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</si>
  <si>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</si>
  <si>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</si>
  <si>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</si>
  <si>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</si>
  <si>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</si>
  <si>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</si>
  <si>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</si>
  <si>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</si>
  <si>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</si>
  <si>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</si>
  <si>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</si>
  <si>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</si>
  <si>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</si>
  <si>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</si>
  <si>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</si>
  <si>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</si>
  <si>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</si>
  <si>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</si>
  <si>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</si>
  <si>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</si>
  <si>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</si>
  <si>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</si>
  <si>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Тимчасовий план на  І півріччя 2015 року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</si>
  <si>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</si>
  <si>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</si>
  <si>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</si>
  <si>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</si>
  <si>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08.01.15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</si>
  <si>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09.01.2015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</si>
</sst>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center"/>
      <protection/>
    </xf>
    <xf numFmtId="49" fontId="9" fillId="0" borderId="1" xfId="20" applyNumberFormat="1" applyFont="1" applyFill="1" applyBorder="1" applyAlignment="1" applyProtection="1">
      <alignment horizontal="center" vertical="center" wrapText="1"/>
      <protection/>
    </xf>
    <xf numFmtId="175" fontId="8" fillId="0" borderId="1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" fontId="22" fillId="0" borderId="1" xfId="0" applyNumberFormat="1" applyFont="1" applyFill="1" applyBorder="1" applyAlignment="1" applyProtection="1">
      <alignment horizontal="right"/>
      <protection locked="0"/>
    </xf>
    <xf numFmtId="175" fontId="8" fillId="0" borderId="1" xfId="0" applyNumberFormat="1" applyFont="1" applyFill="1" applyBorder="1" applyAlignment="1" applyProtection="1">
      <alignment horizontal="right"/>
      <protection locked="0"/>
    </xf>
    <xf numFmtId="175" fontId="13" fillId="0" borderId="1" xfId="0" applyNumberFormat="1" applyFont="1" applyFill="1" applyBorder="1" applyAlignment="1" applyProtection="1">
      <alignment horizontal="right" wrapText="1"/>
      <protection/>
    </xf>
    <xf numFmtId="175" fontId="13" fillId="0" borderId="1" xfId="0" applyNumberFormat="1" applyFont="1" applyFill="1" applyBorder="1" applyAlignment="1" applyProtection="1">
      <alignment horizontal="right" wrapText="1"/>
      <protection locked="0"/>
    </xf>
    <xf numFmtId="2" fontId="8" fillId="0" borderId="1" xfId="20" applyNumberFormat="1" applyFont="1" applyFill="1" applyBorder="1" applyProtection="1">
      <alignment/>
      <protection/>
    </xf>
    <xf numFmtId="4" fontId="8" fillId="0" borderId="1" xfId="20" applyNumberFormat="1" applyFont="1" applyFill="1" applyBorder="1" applyProtection="1">
      <alignment/>
      <protection/>
    </xf>
    <xf numFmtId="0" fontId="8" fillId="0" borderId="5" xfId="20" applyFont="1" applyFill="1" applyBorder="1" applyAlignment="1" applyProtection="1">
      <alignment horizontal="center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4" fontId="7" fillId="3" borderId="1" xfId="20" applyNumberFormat="1" applyFont="1" applyFill="1" applyBorder="1" applyProtection="1">
      <alignment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5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39" sqref="I139:I1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1" customWidth="1"/>
    <col min="4" max="4" width="11.875" style="4" customWidth="1"/>
    <col min="5" max="5" width="11.00390625" style="4" customWidth="1"/>
    <col min="6" max="6" width="11.25390625" style="3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2" hidden="1" customWidth="1"/>
    <col min="19" max="16384" width="9.125" style="4" customWidth="1"/>
  </cols>
  <sheetData>
    <row r="1" spans="1:18" s="1" customFormat="1" ht="26.25" customHeight="1">
      <c r="A1" s="164" t="s">
        <v>192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19"/>
      <c r="R1" s="120"/>
    </row>
    <row r="2" spans="2:18" s="1" customFormat="1" ht="15.75" customHeight="1">
      <c r="B2" s="165"/>
      <c r="C2" s="165"/>
      <c r="D2" s="165"/>
      <c r="E2" s="2"/>
      <c r="F2" s="149"/>
      <c r="G2" s="2"/>
      <c r="H2" s="2"/>
      <c r="P2" s="20" t="s">
        <v>104</v>
      </c>
      <c r="Q2" s="20"/>
      <c r="R2" s="121"/>
    </row>
    <row r="3" spans="1:18" s="3" customFormat="1" ht="13.5" customHeight="1">
      <c r="A3" s="166"/>
      <c r="B3" s="168"/>
      <c r="C3" s="169" t="s">
        <v>0</v>
      </c>
      <c r="D3" s="170" t="s">
        <v>186</v>
      </c>
      <c r="E3" s="42"/>
      <c r="F3" s="171" t="s">
        <v>107</v>
      </c>
      <c r="G3" s="172"/>
      <c r="H3" s="172"/>
      <c r="I3" s="172"/>
      <c r="J3" s="173"/>
      <c r="K3" s="116"/>
      <c r="L3" s="116"/>
      <c r="M3" s="174" t="s">
        <v>188</v>
      </c>
      <c r="N3" s="163" t="s">
        <v>175</v>
      </c>
      <c r="O3" s="163"/>
      <c r="P3" s="163"/>
      <c r="Q3" s="163"/>
      <c r="R3" s="163"/>
    </row>
    <row r="4" spans="1:18" ht="22.5" customHeight="1">
      <c r="A4" s="166"/>
      <c r="B4" s="168"/>
      <c r="C4" s="169"/>
      <c r="D4" s="170"/>
      <c r="E4" s="177" t="s">
        <v>153</v>
      </c>
      <c r="F4" s="181" t="s">
        <v>116</v>
      </c>
      <c r="G4" s="183" t="s">
        <v>173</v>
      </c>
      <c r="H4" s="185" t="s">
        <v>174</v>
      </c>
      <c r="I4" s="187" t="s">
        <v>187</v>
      </c>
      <c r="J4" s="193" t="s">
        <v>190</v>
      </c>
      <c r="K4" s="118" t="s">
        <v>172</v>
      </c>
      <c r="L4" s="123" t="s">
        <v>171</v>
      </c>
      <c r="M4" s="175"/>
      <c r="N4" s="161" t="s">
        <v>191</v>
      </c>
      <c r="O4" s="187" t="s">
        <v>136</v>
      </c>
      <c r="P4" s="163" t="s">
        <v>135</v>
      </c>
      <c r="Q4" s="124" t="s">
        <v>172</v>
      </c>
      <c r="R4" s="125" t="s">
        <v>171</v>
      </c>
    </row>
    <row r="5" spans="1:18" ht="92.25" customHeight="1">
      <c r="A5" s="167"/>
      <c r="B5" s="168"/>
      <c r="C5" s="169"/>
      <c r="D5" s="170"/>
      <c r="E5" s="178"/>
      <c r="F5" s="182"/>
      <c r="G5" s="184"/>
      <c r="H5" s="186"/>
      <c r="I5" s="188"/>
      <c r="J5" s="160"/>
      <c r="K5" s="179" t="s">
        <v>189</v>
      </c>
      <c r="L5" s="180"/>
      <c r="M5" s="176"/>
      <c r="N5" s="147"/>
      <c r="O5" s="188"/>
      <c r="P5" s="163"/>
      <c r="Q5" s="179" t="s">
        <v>176</v>
      </c>
      <c r="R5" s="180"/>
    </row>
    <row r="6" spans="1:18" ht="15.75" customHeight="1">
      <c r="A6" s="5" t="s">
        <v>1</v>
      </c>
      <c r="B6" s="10" t="s">
        <v>2</v>
      </c>
      <c r="C6" s="82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6">
        <v>17</v>
      </c>
    </row>
    <row r="7" spans="1:18" ht="15.75" customHeight="1">
      <c r="A7" s="21"/>
      <c r="B7" s="22" t="s">
        <v>108</v>
      </c>
      <c r="C7" s="82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6"/>
    </row>
    <row r="8" spans="1:18" s="6" customFormat="1" ht="18.75">
      <c r="A8" s="7"/>
      <c r="B8" s="19" t="s">
        <v>9</v>
      </c>
      <c r="C8" s="95" t="s">
        <v>10</v>
      </c>
      <c r="D8" s="18">
        <f>D10+D19+D33+D56+D68+D30</f>
        <v>230107</v>
      </c>
      <c r="E8" s="18">
        <f>E10+E19+E33+E56+E68+E30</f>
        <v>36633</v>
      </c>
      <c r="F8" s="141">
        <f>F10+F19+F33+F56+F68+F30</f>
        <v>6560.6900000000005</v>
      </c>
      <c r="G8" s="18">
        <f aca="true" t="shared" si="0" ref="G8:G30">F8-E8</f>
        <v>-30072.309999999998</v>
      </c>
      <c r="H8" s="47">
        <f>F8/E8*100</f>
        <v>17.909234842901213</v>
      </c>
      <c r="I8" s="32">
        <f aca="true" t="shared" si="1" ref="I8:I17">F8-D8</f>
        <v>-223546.31</v>
      </c>
      <c r="J8" s="32">
        <f aca="true" t="shared" si="2" ref="J8:J14">F8/D8*100</f>
        <v>2.8511475096368213</v>
      </c>
      <c r="K8" s="32">
        <f>F8-33748.2</f>
        <v>-27187.509999999995</v>
      </c>
      <c r="L8" s="32">
        <f>F8/33748.2*100</f>
        <v>19.440118287790167</v>
      </c>
      <c r="M8" s="18">
        <f>M10+M19+M33+M56+M68+M30</f>
        <v>36633</v>
      </c>
      <c r="N8" s="18">
        <f>N10+N19+N33+N56+N68+N30</f>
        <v>6560.6900000000005</v>
      </c>
      <c r="O8" s="32">
        <f aca="true" t="shared" si="3" ref="O8:O55">N8-M8</f>
        <v>-30072.309999999998</v>
      </c>
      <c r="P8" s="32">
        <f>F8/M8*100</f>
        <v>17.909234842901213</v>
      </c>
      <c r="Q8" s="32">
        <f>N8-33748.16</f>
        <v>-27187.47</v>
      </c>
      <c r="R8" s="127">
        <f>N8/33748.16</f>
        <v>0.1944014132918654</v>
      </c>
    </row>
    <row r="9" spans="1:18" s="6" customFormat="1" ht="31.5" hidden="1">
      <c r="A9" s="8"/>
      <c r="B9" s="11" t="s">
        <v>11</v>
      </c>
      <c r="C9" s="83">
        <v>11000000</v>
      </c>
      <c r="D9" s="16">
        <f>D10+D17</f>
        <v>184300</v>
      </c>
      <c r="E9" s="16"/>
      <c r="F9" s="151">
        <f>F10+F17</f>
        <v>6239.77</v>
      </c>
      <c r="G9" s="18">
        <f t="shared" si="0"/>
        <v>6239.77</v>
      </c>
      <c r="H9" s="16"/>
      <c r="I9" s="52">
        <f t="shared" si="1"/>
        <v>-178060.23</v>
      </c>
      <c r="J9" s="52">
        <f t="shared" si="2"/>
        <v>3.3856592512208357</v>
      </c>
      <c r="K9" s="52"/>
      <c r="L9" s="52"/>
      <c r="M9" s="16">
        <f>M10+M17</f>
        <v>29300</v>
      </c>
      <c r="N9" s="16">
        <f>N10+N17</f>
        <v>6239.77</v>
      </c>
      <c r="O9" s="32">
        <f t="shared" si="3"/>
        <v>-23060.23</v>
      </c>
      <c r="P9" s="52">
        <f>F9/M9*100</f>
        <v>21.2961433447099</v>
      </c>
      <c r="Q9" s="52"/>
      <c r="R9" s="128"/>
    </row>
    <row r="10" spans="1:18" s="6" customFormat="1" ht="15.75">
      <c r="A10" s="8"/>
      <c r="B10" s="15" t="s">
        <v>145</v>
      </c>
      <c r="C10" s="61">
        <v>11010000</v>
      </c>
      <c r="D10" s="37">
        <v>184300</v>
      </c>
      <c r="E10" s="37">
        <v>29300</v>
      </c>
      <c r="F10" s="152">
        <v>6239.77</v>
      </c>
      <c r="G10" s="45">
        <f t="shared" si="0"/>
        <v>-23060.23</v>
      </c>
      <c r="H10" s="36">
        <f aca="true" t="shared" si="4" ref="H10:H17">F10/E10*100</f>
        <v>21.2961433447099</v>
      </c>
      <c r="I10" s="52">
        <f t="shared" si="1"/>
        <v>-178060.23</v>
      </c>
      <c r="J10" s="52">
        <f t="shared" si="2"/>
        <v>3.3856592512208357</v>
      </c>
      <c r="K10" s="134">
        <f>F10-26568.11</f>
        <v>-20328.34</v>
      </c>
      <c r="L10" s="134">
        <f>F10/26568.11*100</f>
        <v>23.48593859329851</v>
      </c>
      <c r="M10" s="36">
        <f>E10</f>
        <v>29300</v>
      </c>
      <c r="N10" s="36">
        <f>F10</f>
        <v>6239.77</v>
      </c>
      <c r="O10" s="49">
        <f t="shared" si="3"/>
        <v>-23060.23</v>
      </c>
      <c r="P10" s="52">
        <f aca="true" t="shared" si="5" ref="P10:P17">N10/M10*100</f>
        <v>21.2961433447099</v>
      </c>
      <c r="Q10" s="134">
        <f>N10-26568.11</f>
        <v>-20328.34</v>
      </c>
      <c r="R10" s="135">
        <f>N10/26568.11</f>
        <v>0.23485938593298508</v>
      </c>
    </row>
    <row r="11" spans="1:18" s="6" customFormat="1" ht="15.75" hidden="1">
      <c r="A11" s="8"/>
      <c r="B11" s="14" t="s">
        <v>12</v>
      </c>
      <c r="C11" s="61">
        <v>11010100</v>
      </c>
      <c r="D11" s="37">
        <v>0</v>
      </c>
      <c r="E11" s="37">
        <v>0</v>
      </c>
      <c r="F11" s="152">
        <v>0</v>
      </c>
      <c r="G11" s="45">
        <f t="shared" si="0"/>
        <v>0</v>
      </c>
      <c r="H11" s="36" t="e">
        <f t="shared" si="4"/>
        <v>#DIV/0!</v>
      </c>
      <c r="I11" s="52">
        <f t="shared" si="1"/>
        <v>0</v>
      </c>
      <c r="J11" s="52" t="e">
        <f t="shared" si="2"/>
        <v>#DIV/0!</v>
      </c>
      <c r="K11" s="52"/>
      <c r="L11" s="52"/>
      <c r="M11" s="36">
        <f aca="true" t="shared" si="6" ref="M11:M68">E11</f>
        <v>0</v>
      </c>
      <c r="N11" s="36">
        <f aca="true" t="shared" si="7" ref="N11:N68">F11</f>
        <v>0</v>
      </c>
      <c r="O11" s="49">
        <f t="shared" si="3"/>
        <v>0</v>
      </c>
      <c r="P11" s="52" t="e">
        <f t="shared" si="5"/>
        <v>#DIV/0!</v>
      </c>
      <c r="Q11" s="52"/>
      <c r="R11" s="128"/>
    </row>
    <row r="12" spans="1:18" s="6" customFormat="1" ht="31.5" hidden="1">
      <c r="A12" s="8"/>
      <c r="B12" s="14" t="s">
        <v>13</v>
      </c>
      <c r="C12" s="61">
        <v>11010200</v>
      </c>
      <c r="D12" s="37">
        <v>0</v>
      </c>
      <c r="E12" s="37">
        <v>0</v>
      </c>
      <c r="F12" s="152">
        <v>0</v>
      </c>
      <c r="G12" s="45">
        <f t="shared" si="0"/>
        <v>0</v>
      </c>
      <c r="H12" s="36" t="e">
        <f t="shared" si="4"/>
        <v>#DIV/0!</v>
      </c>
      <c r="I12" s="52">
        <f t="shared" si="1"/>
        <v>0</v>
      </c>
      <c r="J12" s="52" t="e">
        <f t="shared" si="2"/>
        <v>#DIV/0!</v>
      </c>
      <c r="K12" s="52"/>
      <c r="L12" s="52"/>
      <c r="M12" s="36">
        <f t="shared" si="6"/>
        <v>0</v>
      </c>
      <c r="N12" s="36">
        <f t="shared" si="7"/>
        <v>0</v>
      </c>
      <c r="O12" s="49">
        <f t="shared" si="3"/>
        <v>0</v>
      </c>
      <c r="P12" s="52" t="e">
        <f t="shared" si="5"/>
        <v>#DIV/0!</v>
      </c>
      <c r="Q12" s="52"/>
      <c r="R12" s="128"/>
    </row>
    <row r="13" spans="1:18" s="6" customFormat="1" ht="47.25" customHeight="1" hidden="1">
      <c r="A13" s="8"/>
      <c r="B13" s="14" t="s">
        <v>14</v>
      </c>
      <c r="C13" s="61">
        <v>11010300</v>
      </c>
      <c r="D13" s="37">
        <v>0</v>
      </c>
      <c r="E13" s="37">
        <v>0</v>
      </c>
      <c r="F13" s="152">
        <v>0</v>
      </c>
      <c r="G13" s="45">
        <f t="shared" si="0"/>
        <v>0</v>
      </c>
      <c r="H13" s="36" t="e">
        <f t="shared" si="4"/>
        <v>#DIV/0!</v>
      </c>
      <c r="I13" s="52">
        <f t="shared" si="1"/>
        <v>0</v>
      </c>
      <c r="J13" s="52" t="e">
        <f t="shared" si="2"/>
        <v>#DIV/0!</v>
      </c>
      <c r="K13" s="52"/>
      <c r="L13" s="52"/>
      <c r="M13" s="36">
        <f t="shared" si="6"/>
        <v>0</v>
      </c>
      <c r="N13" s="36">
        <f t="shared" si="7"/>
        <v>0</v>
      </c>
      <c r="O13" s="49">
        <f t="shared" si="3"/>
        <v>0</v>
      </c>
      <c r="P13" s="52" t="e">
        <f t="shared" si="5"/>
        <v>#DIV/0!</v>
      </c>
      <c r="Q13" s="52"/>
      <c r="R13" s="128"/>
    </row>
    <row r="14" spans="1:18" s="6" customFormat="1" ht="31.5" hidden="1">
      <c r="A14" s="8"/>
      <c r="B14" s="14" t="s">
        <v>15</v>
      </c>
      <c r="C14" s="61">
        <v>11010400</v>
      </c>
      <c r="D14" s="37">
        <v>0</v>
      </c>
      <c r="E14" s="37">
        <v>0</v>
      </c>
      <c r="F14" s="152">
        <v>0</v>
      </c>
      <c r="G14" s="45">
        <f t="shared" si="0"/>
        <v>0</v>
      </c>
      <c r="H14" s="36" t="e">
        <f t="shared" si="4"/>
        <v>#DIV/0!</v>
      </c>
      <c r="I14" s="52">
        <f t="shared" si="1"/>
        <v>0</v>
      </c>
      <c r="J14" s="52" t="e">
        <f t="shared" si="2"/>
        <v>#DIV/0!</v>
      </c>
      <c r="K14" s="52"/>
      <c r="L14" s="52"/>
      <c r="M14" s="36">
        <f t="shared" si="6"/>
        <v>0</v>
      </c>
      <c r="N14" s="36">
        <f t="shared" si="7"/>
        <v>0</v>
      </c>
      <c r="O14" s="49">
        <f t="shared" si="3"/>
        <v>0</v>
      </c>
      <c r="P14" s="52" t="e">
        <f t="shared" si="5"/>
        <v>#DIV/0!</v>
      </c>
      <c r="Q14" s="52"/>
      <c r="R14" s="128"/>
    </row>
    <row r="15" spans="1:18" s="6" customFormat="1" ht="31.5" hidden="1">
      <c r="A15" s="8"/>
      <c r="B15" s="14" t="s">
        <v>16</v>
      </c>
      <c r="C15" s="61">
        <v>11010500</v>
      </c>
      <c r="D15" s="37">
        <v>0</v>
      </c>
      <c r="E15" s="37">
        <v>0</v>
      </c>
      <c r="F15" s="152">
        <v>0</v>
      </c>
      <c r="G15" s="45">
        <f t="shared" si="0"/>
        <v>0</v>
      </c>
      <c r="H15" s="36" t="e">
        <f t="shared" si="4"/>
        <v>#DIV/0!</v>
      </c>
      <c r="I15" s="52">
        <f t="shared" si="1"/>
        <v>0</v>
      </c>
      <c r="J15" s="52"/>
      <c r="K15" s="52"/>
      <c r="L15" s="52"/>
      <c r="M15" s="36">
        <f t="shared" si="6"/>
        <v>0</v>
      </c>
      <c r="N15" s="36">
        <f t="shared" si="7"/>
        <v>0</v>
      </c>
      <c r="O15" s="49">
        <f t="shared" si="3"/>
        <v>0</v>
      </c>
      <c r="P15" s="52" t="e">
        <f t="shared" si="5"/>
        <v>#DIV/0!</v>
      </c>
      <c r="Q15" s="52"/>
      <c r="R15" s="128"/>
    </row>
    <row r="16" spans="1:18" s="6" customFormat="1" ht="47.25" customHeight="1" hidden="1">
      <c r="A16" s="8"/>
      <c r="B16" s="14" t="s">
        <v>17</v>
      </c>
      <c r="C16" s="61">
        <v>11010600</v>
      </c>
      <c r="D16" s="37">
        <v>0</v>
      </c>
      <c r="E16" s="37">
        <v>0</v>
      </c>
      <c r="F16" s="152">
        <v>0</v>
      </c>
      <c r="G16" s="45">
        <f t="shared" si="0"/>
        <v>0</v>
      </c>
      <c r="H16" s="36" t="e">
        <f t="shared" si="4"/>
        <v>#DIV/0!</v>
      </c>
      <c r="I16" s="52">
        <f t="shared" si="1"/>
        <v>0</v>
      </c>
      <c r="J16" s="52" t="e">
        <f>F16/D16*100</f>
        <v>#DIV/0!</v>
      </c>
      <c r="K16" s="52"/>
      <c r="L16" s="52"/>
      <c r="M16" s="36">
        <f t="shared" si="6"/>
        <v>0</v>
      </c>
      <c r="N16" s="36">
        <f t="shared" si="7"/>
        <v>0</v>
      </c>
      <c r="O16" s="49">
        <f t="shared" si="3"/>
        <v>0</v>
      </c>
      <c r="P16" s="52" t="e">
        <f t="shared" si="5"/>
        <v>#DIV/0!</v>
      </c>
      <c r="Q16" s="52"/>
      <c r="R16" s="128"/>
    </row>
    <row r="17" spans="1:18" s="6" customFormat="1" ht="15.75" hidden="1">
      <c r="A17" s="8"/>
      <c r="B17" s="12" t="s">
        <v>18</v>
      </c>
      <c r="C17" s="61">
        <v>11020000</v>
      </c>
      <c r="D17" s="37">
        <v>0</v>
      </c>
      <c r="E17" s="37">
        <v>0</v>
      </c>
      <c r="F17" s="152">
        <v>0</v>
      </c>
      <c r="G17" s="45">
        <f t="shared" si="0"/>
        <v>0</v>
      </c>
      <c r="H17" s="36" t="e">
        <f t="shared" si="4"/>
        <v>#DIV/0!</v>
      </c>
      <c r="I17" s="52">
        <f t="shared" si="1"/>
        <v>0</v>
      </c>
      <c r="J17" s="52" t="e">
        <f>F17/D17*100</f>
        <v>#DIV/0!</v>
      </c>
      <c r="K17" s="52"/>
      <c r="L17" s="52"/>
      <c r="M17" s="36">
        <f t="shared" si="6"/>
        <v>0</v>
      </c>
      <c r="N17" s="36">
        <f t="shared" si="7"/>
        <v>0</v>
      </c>
      <c r="O17" s="49">
        <f t="shared" si="3"/>
        <v>0</v>
      </c>
      <c r="P17" s="52" t="e">
        <f t="shared" si="5"/>
        <v>#DIV/0!</v>
      </c>
      <c r="Q17" s="52"/>
      <c r="R17" s="128"/>
    </row>
    <row r="18" spans="1:18" s="6" customFormat="1" ht="15.75" hidden="1">
      <c r="A18" s="8"/>
      <c r="B18" s="63" t="s">
        <v>143</v>
      </c>
      <c r="C18" s="94">
        <v>11010600</v>
      </c>
      <c r="D18" s="37">
        <v>0</v>
      </c>
      <c r="E18" s="37">
        <v>0</v>
      </c>
      <c r="F18" s="152">
        <v>0</v>
      </c>
      <c r="G18" s="45">
        <f t="shared" si="0"/>
        <v>0</v>
      </c>
      <c r="H18" s="36"/>
      <c r="I18" s="52" t="s">
        <v>158</v>
      </c>
      <c r="J18" s="52"/>
      <c r="K18" s="52"/>
      <c r="L18" s="52"/>
      <c r="M18" s="36">
        <f t="shared" si="6"/>
        <v>0</v>
      </c>
      <c r="N18" s="36">
        <f t="shared" si="7"/>
        <v>0</v>
      </c>
      <c r="O18" s="49">
        <f t="shared" si="3"/>
        <v>0</v>
      </c>
      <c r="P18" s="52"/>
      <c r="Q18" s="52"/>
      <c r="R18" s="128"/>
    </row>
    <row r="19" spans="1:18" s="6" customFormat="1" ht="31.5">
      <c r="A19" s="8"/>
      <c r="B19" s="14" t="s">
        <v>19</v>
      </c>
      <c r="C19" s="61">
        <v>11020200</v>
      </c>
      <c r="D19" s="37">
        <v>600</v>
      </c>
      <c r="E19" s="37">
        <v>100</v>
      </c>
      <c r="F19" s="152">
        <v>0</v>
      </c>
      <c r="G19" s="45">
        <f t="shared" si="0"/>
        <v>-100</v>
      </c>
      <c r="H19" s="36">
        <f aca="true" t="shared" si="8" ref="H19:H29">F19/E19*100</f>
        <v>0</v>
      </c>
      <c r="I19" s="52">
        <f aca="true" t="shared" si="9" ref="I19:I28">F19-D19</f>
        <v>-600</v>
      </c>
      <c r="J19" s="52">
        <f aca="true" t="shared" si="10" ref="J19:J28">F19/D19*100</f>
        <v>0</v>
      </c>
      <c r="K19" s="52">
        <f>F19-358.81</f>
        <v>-358.81</v>
      </c>
      <c r="L19" s="52">
        <f>F19/358.81*100</f>
        <v>0</v>
      </c>
      <c r="M19" s="36">
        <f t="shared" si="6"/>
        <v>100</v>
      </c>
      <c r="N19" s="36">
        <f t="shared" si="7"/>
        <v>0</v>
      </c>
      <c r="O19" s="49">
        <f t="shared" si="3"/>
        <v>-100</v>
      </c>
      <c r="P19" s="52">
        <f aca="true" t="shared" si="11" ref="P19:P29">N19/M19*100</f>
        <v>0</v>
      </c>
      <c r="Q19" s="52">
        <f>N19-358.81</f>
        <v>-358.81</v>
      </c>
      <c r="R19" s="128">
        <f>N19/358.81</f>
        <v>0</v>
      </c>
    </row>
    <row r="20" spans="1:18" s="6" customFormat="1" ht="31.5" hidden="1">
      <c r="A20" s="8"/>
      <c r="B20" s="11" t="s">
        <v>20</v>
      </c>
      <c r="C20" s="59">
        <v>13000000</v>
      </c>
      <c r="D20" s="37">
        <v>0</v>
      </c>
      <c r="E20" s="37">
        <v>0</v>
      </c>
      <c r="F20" s="152">
        <v>0</v>
      </c>
      <c r="G20" s="45">
        <f t="shared" si="0"/>
        <v>0</v>
      </c>
      <c r="H20" s="36" t="e">
        <f t="shared" si="8"/>
        <v>#DIV/0!</v>
      </c>
      <c r="I20" s="52">
        <f t="shared" si="9"/>
        <v>0</v>
      </c>
      <c r="J20" s="52" t="e">
        <f t="shared" si="10"/>
        <v>#DIV/0!</v>
      </c>
      <c r="K20" s="52">
        <f aca="true" t="shared" si="12" ref="K20:K28">F20-194.7</f>
        <v>-194.7</v>
      </c>
      <c r="L20" s="52">
        <f aca="true" t="shared" si="13" ref="L20:L28">F20/194.7*100</f>
        <v>0</v>
      </c>
      <c r="M20" s="36">
        <f t="shared" si="6"/>
        <v>0</v>
      </c>
      <c r="N20" s="36">
        <f t="shared" si="7"/>
        <v>0</v>
      </c>
      <c r="O20" s="49">
        <f t="shared" si="3"/>
        <v>0</v>
      </c>
      <c r="P20" s="52" t="e">
        <f t="shared" si="11"/>
        <v>#DIV/0!</v>
      </c>
      <c r="Q20" s="52">
        <f aca="true" t="shared" si="14" ref="Q20:Q28">N20-194.7</f>
        <v>-194.7</v>
      </c>
      <c r="R20" s="128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1">
        <v>13010000</v>
      </c>
      <c r="D21" s="37">
        <v>0</v>
      </c>
      <c r="E21" s="37">
        <v>0</v>
      </c>
      <c r="F21" s="152">
        <v>0</v>
      </c>
      <c r="G21" s="45">
        <f t="shared" si="0"/>
        <v>0</v>
      </c>
      <c r="H21" s="36" t="e">
        <f t="shared" si="8"/>
        <v>#DIV/0!</v>
      </c>
      <c r="I21" s="52">
        <f t="shared" si="9"/>
        <v>0</v>
      </c>
      <c r="J21" s="52" t="e">
        <f t="shared" si="10"/>
        <v>#DIV/0!</v>
      </c>
      <c r="K21" s="52">
        <f t="shared" si="12"/>
        <v>-194.7</v>
      </c>
      <c r="L21" s="52">
        <f t="shared" si="13"/>
        <v>0</v>
      </c>
      <c r="M21" s="36">
        <f t="shared" si="6"/>
        <v>0</v>
      </c>
      <c r="N21" s="36">
        <f t="shared" si="7"/>
        <v>0</v>
      </c>
      <c r="O21" s="49">
        <f t="shared" si="3"/>
        <v>0</v>
      </c>
      <c r="P21" s="52" t="e">
        <f t="shared" si="11"/>
        <v>#DIV/0!</v>
      </c>
      <c r="Q21" s="52">
        <f t="shared" si="14"/>
        <v>-194.7</v>
      </c>
      <c r="R21" s="128">
        <f t="shared" si="15"/>
        <v>0</v>
      </c>
    </row>
    <row r="22" spans="1:18" s="6" customFormat="1" ht="47.25" hidden="1">
      <c r="A22" s="8"/>
      <c r="B22" s="14" t="s">
        <v>22</v>
      </c>
      <c r="C22" s="61">
        <v>13010200</v>
      </c>
      <c r="D22" s="37">
        <v>0</v>
      </c>
      <c r="E22" s="37">
        <v>0</v>
      </c>
      <c r="F22" s="152">
        <v>0</v>
      </c>
      <c r="G22" s="45">
        <f t="shared" si="0"/>
        <v>0</v>
      </c>
      <c r="H22" s="36" t="e">
        <f t="shared" si="8"/>
        <v>#DIV/0!</v>
      </c>
      <c r="I22" s="52">
        <f t="shared" si="9"/>
        <v>0</v>
      </c>
      <c r="J22" s="52" t="e">
        <f t="shared" si="10"/>
        <v>#DIV/0!</v>
      </c>
      <c r="K22" s="52">
        <f t="shared" si="12"/>
        <v>-194.7</v>
      </c>
      <c r="L22" s="52">
        <f t="shared" si="13"/>
        <v>0</v>
      </c>
      <c r="M22" s="36">
        <f t="shared" si="6"/>
        <v>0</v>
      </c>
      <c r="N22" s="36">
        <f t="shared" si="7"/>
        <v>0</v>
      </c>
      <c r="O22" s="49">
        <f t="shared" si="3"/>
        <v>0</v>
      </c>
      <c r="P22" s="52" t="e">
        <f t="shared" si="11"/>
        <v>#DIV/0!</v>
      </c>
      <c r="Q22" s="52">
        <f t="shared" si="14"/>
        <v>-194.7</v>
      </c>
      <c r="R22" s="128">
        <f t="shared" si="15"/>
        <v>0</v>
      </c>
    </row>
    <row r="23" spans="1:18" s="6" customFormat="1" ht="63" hidden="1">
      <c r="A23" s="8"/>
      <c r="B23" s="14" t="s">
        <v>23</v>
      </c>
      <c r="C23" s="61">
        <v>13010300</v>
      </c>
      <c r="D23" s="37">
        <v>0</v>
      </c>
      <c r="E23" s="37">
        <v>0</v>
      </c>
      <c r="F23" s="152">
        <v>0</v>
      </c>
      <c r="G23" s="45">
        <f t="shared" si="0"/>
        <v>0</v>
      </c>
      <c r="H23" s="36" t="e">
        <f t="shared" si="8"/>
        <v>#DIV/0!</v>
      </c>
      <c r="I23" s="52">
        <f t="shared" si="9"/>
        <v>0</v>
      </c>
      <c r="J23" s="52" t="e">
        <f t="shared" si="10"/>
        <v>#DIV/0!</v>
      </c>
      <c r="K23" s="52">
        <f t="shared" si="12"/>
        <v>-194.7</v>
      </c>
      <c r="L23" s="52">
        <f t="shared" si="13"/>
        <v>0</v>
      </c>
      <c r="M23" s="36">
        <f t="shared" si="6"/>
        <v>0</v>
      </c>
      <c r="N23" s="36">
        <f t="shared" si="7"/>
        <v>0</v>
      </c>
      <c r="O23" s="49">
        <f t="shared" si="3"/>
        <v>0</v>
      </c>
      <c r="P23" s="52" t="e">
        <f t="shared" si="11"/>
        <v>#DIV/0!</v>
      </c>
      <c r="Q23" s="52">
        <f t="shared" si="14"/>
        <v>-194.7</v>
      </c>
      <c r="R23" s="128">
        <f t="shared" si="15"/>
        <v>0</v>
      </c>
    </row>
    <row r="24" spans="1:18" s="6" customFormat="1" ht="63" customHeight="1" hidden="1">
      <c r="A24" s="8"/>
      <c r="B24" s="12" t="s">
        <v>24</v>
      </c>
      <c r="C24" s="61">
        <v>13020000</v>
      </c>
      <c r="D24" s="37">
        <v>0</v>
      </c>
      <c r="E24" s="37">
        <v>0</v>
      </c>
      <c r="F24" s="152">
        <v>0</v>
      </c>
      <c r="G24" s="45">
        <f t="shared" si="0"/>
        <v>0</v>
      </c>
      <c r="H24" s="36" t="e">
        <f t="shared" si="8"/>
        <v>#DIV/0!</v>
      </c>
      <c r="I24" s="52">
        <f t="shared" si="9"/>
        <v>0</v>
      </c>
      <c r="J24" s="52" t="e">
        <f t="shared" si="10"/>
        <v>#DIV/0!</v>
      </c>
      <c r="K24" s="52">
        <f t="shared" si="12"/>
        <v>-194.7</v>
      </c>
      <c r="L24" s="52">
        <f t="shared" si="13"/>
        <v>0</v>
      </c>
      <c r="M24" s="36">
        <f t="shared" si="6"/>
        <v>0</v>
      </c>
      <c r="N24" s="36">
        <f t="shared" si="7"/>
        <v>0</v>
      </c>
      <c r="O24" s="49">
        <f t="shared" si="3"/>
        <v>0</v>
      </c>
      <c r="P24" s="52" t="e">
        <f t="shared" si="11"/>
        <v>#DIV/0!</v>
      </c>
      <c r="Q24" s="52">
        <f t="shared" si="14"/>
        <v>-194.7</v>
      </c>
      <c r="R24" s="128">
        <f t="shared" si="15"/>
        <v>0</v>
      </c>
    </row>
    <row r="25" spans="1:18" s="6" customFormat="1" ht="31.5" customHeight="1" hidden="1">
      <c r="A25" s="8"/>
      <c r="B25" s="14" t="s">
        <v>25</v>
      </c>
      <c r="C25" s="61">
        <v>13020200</v>
      </c>
      <c r="D25" s="37">
        <v>0</v>
      </c>
      <c r="E25" s="37">
        <v>0</v>
      </c>
      <c r="F25" s="152">
        <v>0</v>
      </c>
      <c r="G25" s="45">
        <f t="shared" si="0"/>
        <v>0</v>
      </c>
      <c r="H25" s="36" t="e">
        <f t="shared" si="8"/>
        <v>#DIV/0!</v>
      </c>
      <c r="I25" s="52">
        <f t="shared" si="9"/>
        <v>0</v>
      </c>
      <c r="J25" s="52" t="e">
        <f t="shared" si="10"/>
        <v>#DIV/0!</v>
      </c>
      <c r="K25" s="52">
        <f t="shared" si="12"/>
        <v>-194.7</v>
      </c>
      <c r="L25" s="52">
        <f t="shared" si="13"/>
        <v>0</v>
      </c>
      <c r="M25" s="36">
        <f t="shared" si="6"/>
        <v>0</v>
      </c>
      <c r="N25" s="36">
        <f t="shared" si="7"/>
        <v>0</v>
      </c>
      <c r="O25" s="49">
        <f t="shared" si="3"/>
        <v>0</v>
      </c>
      <c r="P25" s="52" t="e">
        <f t="shared" si="11"/>
        <v>#DIV/0!</v>
      </c>
      <c r="Q25" s="52">
        <f t="shared" si="14"/>
        <v>-194.7</v>
      </c>
      <c r="R25" s="128">
        <f t="shared" si="15"/>
        <v>0</v>
      </c>
    </row>
    <row r="26" spans="1:18" s="6" customFormat="1" ht="47.25" hidden="1">
      <c r="A26" s="8"/>
      <c r="B26" s="14" t="s">
        <v>26</v>
      </c>
      <c r="C26" s="61">
        <v>13020400</v>
      </c>
      <c r="D26" s="37">
        <v>0</v>
      </c>
      <c r="E26" s="37">
        <v>0</v>
      </c>
      <c r="F26" s="152">
        <v>0</v>
      </c>
      <c r="G26" s="45">
        <f t="shared" si="0"/>
        <v>0</v>
      </c>
      <c r="H26" s="36" t="e">
        <f t="shared" si="8"/>
        <v>#DIV/0!</v>
      </c>
      <c r="I26" s="52">
        <f t="shared" si="9"/>
        <v>0</v>
      </c>
      <c r="J26" s="52" t="e">
        <f t="shared" si="10"/>
        <v>#DIV/0!</v>
      </c>
      <c r="K26" s="52">
        <f t="shared" si="12"/>
        <v>-194.7</v>
      </c>
      <c r="L26" s="52">
        <f t="shared" si="13"/>
        <v>0</v>
      </c>
      <c r="M26" s="36">
        <f t="shared" si="6"/>
        <v>0</v>
      </c>
      <c r="N26" s="36">
        <f t="shared" si="7"/>
        <v>0</v>
      </c>
      <c r="O26" s="49">
        <f t="shared" si="3"/>
        <v>0</v>
      </c>
      <c r="P26" s="52" t="e">
        <f t="shared" si="11"/>
        <v>#DIV/0!</v>
      </c>
      <c r="Q26" s="52">
        <f t="shared" si="14"/>
        <v>-194.7</v>
      </c>
      <c r="R26" s="128">
        <f t="shared" si="15"/>
        <v>0</v>
      </c>
    </row>
    <row r="27" spans="1:18" s="6" customFormat="1" ht="63" hidden="1">
      <c r="A27" s="8"/>
      <c r="B27" s="14" t="s">
        <v>27</v>
      </c>
      <c r="C27" s="61">
        <v>13020500</v>
      </c>
      <c r="D27" s="37">
        <v>0</v>
      </c>
      <c r="E27" s="37">
        <v>0</v>
      </c>
      <c r="F27" s="152">
        <v>0</v>
      </c>
      <c r="G27" s="45">
        <f t="shared" si="0"/>
        <v>0</v>
      </c>
      <c r="H27" s="36" t="e">
        <f t="shared" si="8"/>
        <v>#DIV/0!</v>
      </c>
      <c r="I27" s="52">
        <f t="shared" si="9"/>
        <v>0</v>
      </c>
      <c r="J27" s="52" t="e">
        <f t="shared" si="10"/>
        <v>#DIV/0!</v>
      </c>
      <c r="K27" s="52">
        <f t="shared" si="12"/>
        <v>-194.7</v>
      </c>
      <c r="L27" s="52">
        <f t="shared" si="13"/>
        <v>0</v>
      </c>
      <c r="M27" s="36">
        <f t="shared" si="6"/>
        <v>0</v>
      </c>
      <c r="N27" s="36">
        <f t="shared" si="7"/>
        <v>0</v>
      </c>
      <c r="O27" s="49">
        <f t="shared" si="3"/>
        <v>0</v>
      </c>
      <c r="P27" s="52" t="e">
        <f t="shared" si="11"/>
        <v>#DIV/0!</v>
      </c>
      <c r="Q27" s="52">
        <f t="shared" si="14"/>
        <v>-194.7</v>
      </c>
      <c r="R27" s="128">
        <f t="shared" si="15"/>
        <v>0</v>
      </c>
    </row>
    <row r="28" spans="1:18" s="6" customFormat="1" ht="15.75" hidden="1">
      <c r="A28" s="8"/>
      <c r="B28" s="12" t="s">
        <v>28</v>
      </c>
      <c r="C28" s="61">
        <v>13030000</v>
      </c>
      <c r="D28" s="37">
        <v>0</v>
      </c>
      <c r="E28" s="37">
        <v>0</v>
      </c>
      <c r="F28" s="152">
        <v>0</v>
      </c>
      <c r="G28" s="45">
        <f t="shared" si="0"/>
        <v>0</v>
      </c>
      <c r="H28" s="36" t="e">
        <f t="shared" si="8"/>
        <v>#DIV/0!</v>
      </c>
      <c r="I28" s="52">
        <f t="shared" si="9"/>
        <v>0</v>
      </c>
      <c r="J28" s="52" t="e">
        <f t="shared" si="10"/>
        <v>#DIV/0!</v>
      </c>
      <c r="K28" s="52">
        <f t="shared" si="12"/>
        <v>-194.7</v>
      </c>
      <c r="L28" s="52">
        <f t="shared" si="13"/>
        <v>0</v>
      </c>
      <c r="M28" s="36">
        <f t="shared" si="6"/>
        <v>0</v>
      </c>
      <c r="N28" s="36">
        <f t="shared" si="7"/>
        <v>0</v>
      </c>
      <c r="O28" s="49">
        <f t="shared" si="3"/>
        <v>0</v>
      </c>
      <c r="P28" s="52" t="e">
        <f t="shared" si="11"/>
        <v>#DIV/0!</v>
      </c>
      <c r="Q28" s="52">
        <f t="shared" si="14"/>
        <v>-194.7</v>
      </c>
      <c r="R28" s="128">
        <f t="shared" si="15"/>
        <v>0</v>
      </c>
    </row>
    <row r="29" spans="1:18" s="6" customFormat="1" ht="15.75">
      <c r="A29" s="8"/>
      <c r="B29" s="71" t="s">
        <v>178</v>
      </c>
      <c r="C29" s="136">
        <v>11010232</v>
      </c>
      <c r="D29" s="137">
        <v>400</v>
      </c>
      <c r="E29" s="137">
        <v>100</v>
      </c>
      <c r="F29" s="153">
        <v>0</v>
      </c>
      <c r="G29" s="45">
        <f t="shared" si="0"/>
        <v>-100</v>
      </c>
      <c r="H29" s="36">
        <f t="shared" si="8"/>
        <v>0</v>
      </c>
      <c r="I29" s="52"/>
      <c r="J29" s="52"/>
      <c r="K29" s="138">
        <f>F29-358.79</f>
        <v>-358.79</v>
      </c>
      <c r="L29" s="138">
        <f>F29/358.79*100</f>
        <v>0</v>
      </c>
      <c r="M29" s="36">
        <f t="shared" si="6"/>
        <v>100</v>
      </c>
      <c r="N29" s="36">
        <f t="shared" si="7"/>
        <v>0</v>
      </c>
      <c r="O29" s="49">
        <f t="shared" si="3"/>
        <v>-100</v>
      </c>
      <c r="P29" s="52">
        <f t="shared" si="11"/>
        <v>0</v>
      </c>
      <c r="Q29" s="138">
        <f>N29-358.81</f>
        <v>-358.81</v>
      </c>
      <c r="R29" s="145">
        <f>N29/358.79</f>
        <v>0</v>
      </c>
    </row>
    <row r="30" spans="1:18" s="6" customFormat="1" ht="15.75">
      <c r="A30" s="8"/>
      <c r="B30" s="15" t="s">
        <v>29</v>
      </c>
      <c r="C30" s="61">
        <v>13030200</v>
      </c>
      <c r="D30" s="37">
        <v>0</v>
      </c>
      <c r="E30" s="37">
        <v>0</v>
      </c>
      <c r="F30" s="152">
        <v>0</v>
      </c>
      <c r="G30" s="45">
        <f t="shared" si="0"/>
        <v>0</v>
      </c>
      <c r="H30" s="36"/>
      <c r="I30" s="52"/>
      <c r="J30" s="52"/>
      <c r="K30" s="52">
        <f>F30-0</f>
        <v>0</v>
      </c>
      <c r="L30" s="52"/>
      <c r="M30" s="36">
        <f t="shared" si="6"/>
        <v>0</v>
      </c>
      <c r="N30" s="36">
        <f t="shared" si="7"/>
        <v>0</v>
      </c>
      <c r="O30" s="49">
        <f t="shared" si="3"/>
        <v>0</v>
      </c>
      <c r="P30" s="52"/>
      <c r="Q30" s="52"/>
      <c r="R30" s="128"/>
    </row>
    <row r="31" spans="1:18" s="6" customFormat="1" ht="47.25" hidden="1">
      <c r="A31" s="8"/>
      <c r="B31" s="14" t="s">
        <v>30</v>
      </c>
      <c r="C31" s="61">
        <v>13030500</v>
      </c>
      <c r="D31" s="37">
        <v>0</v>
      </c>
      <c r="E31" s="37">
        <v>0</v>
      </c>
      <c r="F31" s="152">
        <v>0</v>
      </c>
      <c r="G31" s="45"/>
      <c r="H31" s="36" t="e">
        <f>F31/E31*100</f>
        <v>#DIV/0!</v>
      </c>
      <c r="I31" s="52">
        <f>F31-D31</f>
        <v>0</v>
      </c>
      <c r="J31" s="52" t="e">
        <f>F31/D31*100</f>
        <v>#DIV/0!</v>
      </c>
      <c r="K31" s="52"/>
      <c r="L31" s="52">
        <f>F31</f>
        <v>0</v>
      </c>
      <c r="M31" s="36">
        <f t="shared" si="6"/>
        <v>0</v>
      </c>
      <c r="N31" s="36">
        <f t="shared" si="7"/>
        <v>0</v>
      </c>
      <c r="O31" s="49">
        <f t="shared" si="3"/>
        <v>0</v>
      </c>
      <c r="P31" s="52" t="e">
        <f>N31/M31*100</f>
        <v>#DIV/0!</v>
      </c>
      <c r="Q31" s="52"/>
      <c r="R31" s="128"/>
    </row>
    <row r="32" spans="1:18" s="6" customFormat="1" ht="31.5" hidden="1">
      <c r="A32" s="8"/>
      <c r="B32" s="14" t="s">
        <v>31</v>
      </c>
      <c r="C32" s="61">
        <v>13030600</v>
      </c>
      <c r="D32" s="37">
        <v>0</v>
      </c>
      <c r="E32" s="37">
        <v>0</v>
      </c>
      <c r="F32" s="152">
        <v>0</v>
      </c>
      <c r="G32" s="45"/>
      <c r="H32" s="36"/>
      <c r="I32" s="52"/>
      <c r="J32" s="52"/>
      <c r="K32" s="52"/>
      <c r="L32" s="52">
        <f>F32</f>
        <v>0</v>
      </c>
      <c r="M32" s="36">
        <f t="shared" si="6"/>
        <v>0</v>
      </c>
      <c r="N32" s="36">
        <f t="shared" si="7"/>
        <v>0</v>
      </c>
      <c r="O32" s="49">
        <f t="shared" si="3"/>
        <v>0</v>
      </c>
      <c r="P32" s="52"/>
      <c r="Q32" s="52"/>
      <c r="R32" s="128"/>
    </row>
    <row r="33" spans="1:18" s="6" customFormat="1" ht="15.75">
      <c r="A33" s="8"/>
      <c r="B33" s="15" t="s">
        <v>32</v>
      </c>
      <c r="C33" s="61">
        <v>13050000</v>
      </c>
      <c r="D33" s="37">
        <v>41580</v>
      </c>
      <c r="E33" s="37">
        <v>6680</v>
      </c>
      <c r="F33" s="152">
        <v>274.84</v>
      </c>
      <c r="G33" s="45">
        <f aca="true" t="shared" si="16" ref="G33:G55">F33-E33</f>
        <v>-6405.16</v>
      </c>
      <c r="H33" s="36">
        <f aca="true" t="shared" si="17" ref="H33:H55">F33/E33*100</f>
        <v>4.11437125748503</v>
      </c>
      <c r="I33" s="52">
        <f>F33-D33</f>
        <v>-41305.16</v>
      </c>
      <c r="J33" s="52">
        <f aca="true" t="shared" si="18" ref="J33:J55">F33/D33*100</f>
        <v>0.6609908609908609</v>
      </c>
      <c r="K33" s="134">
        <f>F33-6293.29</f>
        <v>-6018.45</v>
      </c>
      <c r="L33" s="134">
        <f>F33/6293.29*100</f>
        <v>4.367191087650498</v>
      </c>
      <c r="M33" s="36">
        <f t="shared" si="6"/>
        <v>6680</v>
      </c>
      <c r="N33" s="36">
        <f t="shared" si="7"/>
        <v>274.84</v>
      </c>
      <c r="O33" s="49">
        <f t="shared" si="3"/>
        <v>-6405.16</v>
      </c>
      <c r="P33" s="52">
        <f aca="true" t="shared" si="19" ref="P33:P55">N33/M33*100</f>
        <v>4.11437125748503</v>
      </c>
      <c r="Q33" s="134">
        <f>N33-6293.29</f>
        <v>-6018.45</v>
      </c>
      <c r="R33" s="135">
        <f>N33/6293.29</f>
        <v>0.043671910876504974</v>
      </c>
    </row>
    <row r="34" spans="1:18" s="6" customFormat="1" ht="15.75" hidden="1">
      <c r="A34" s="8"/>
      <c r="B34" s="14" t="s">
        <v>33</v>
      </c>
      <c r="C34" s="60">
        <v>13050100</v>
      </c>
      <c r="D34" s="37">
        <v>0</v>
      </c>
      <c r="E34" s="37">
        <v>0</v>
      </c>
      <c r="F34" s="152">
        <v>0</v>
      </c>
      <c r="G34" s="45">
        <f t="shared" si="16"/>
        <v>0</v>
      </c>
      <c r="H34" s="36" t="e">
        <f t="shared" si="17"/>
        <v>#DIV/0!</v>
      </c>
      <c r="I34" s="52">
        <f aca="true" t="shared" si="20" ref="I34:I55">F34-D34</f>
        <v>0</v>
      </c>
      <c r="J34" s="52" t="e">
        <f t="shared" si="18"/>
        <v>#DIV/0!</v>
      </c>
      <c r="K34" s="52">
        <f aca="true" t="shared" si="21" ref="K34:K54">F34-6172.8</f>
        <v>-6172.8</v>
      </c>
      <c r="L34" s="52">
        <f aca="true" t="shared" si="22" ref="L34:L54">F34/6172.8*100</f>
        <v>0</v>
      </c>
      <c r="M34" s="36">
        <f t="shared" si="6"/>
        <v>0</v>
      </c>
      <c r="N34" s="36">
        <f t="shared" si="7"/>
        <v>0</v>
      </c>
      <c r="O34" s="49">
        <f t="shared" si="3"/>
        <v>0</v>
      </c>
      <c r="P34" s="52" t="e">
        <f t="shared" si="19"/>
        <v>#DIV/0!</v>
      </c>
      <c r="Q34" s="134">
        <f aca="true" t="shared" si="23" ref="Q34:Q54">N34-6172.8</f>
        <v>-6172.8</v>
      </c>
      <c r="R34" s="135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0">
        <v>13050200</v>
      </c>
      <c r="D35" s="37">
        <v>0</v>
      </c>
      <c r="E35" s="37">
        <v>0</v>
      </c>
      <c r="F35" s="152">
        <v>0</v>
      </c>
      <c r="G35" s="45">
        <f t="shared" si="16"/>
        <v>0</v>
      </c>
      <c r="H35" s="36" t="e">
        <f t="shared" si="17"/>
        <v>#DIV/0!</v>
      </c>
      <c r="I35" s="52">
        <f t="shared" si="20"/>
        <v>0</v>
      </c>
      <c r="J35" s="52" t="e">
        <f t="shared" si="18"/>
        <v>#DIV/0!</v>
      </c>
      <c r="K35" s="52">
        <f t="shared" si="21"/>
        <v>-6172.8</v>
      </c>
      <c r="L35" s="52">
        <f t="shared" si="22"/>
        <v>0</v>
      </c>
      <c r="M35" s="36">
        <f t="shared" si="6"/>
        <v>0</v>
      </c>
      <c r="N35" s="36">
        <f t="shared" si="7"/>
        <v>0</v>
      </c>
      <c r="O35" s="49">
        <f t="shared" si="3"/>
        <v>0</v>
      </c>
      <c r="P35" s="52" t="e">
        <f t="shared" si="19"/>
        <v>#DIV/0!</v>
      </c>
      <c r="Q35" s="134">
        <f t="shared" si="23"/>
        <v>-6172.8</v>
      </c>
      <c r="R35" s="135">
        <f t="shared" si="24"/>
        <v>0</v>
      </c>
    </row>
    <row r="36" spans="1:18" s="6" customFormat="1" ht="15.75" hidden="1">
      <c r="A36" s="8"/>
      <c r="B36" s="14" t="s">
        <v>35</v>
      </c>
      <c r="C36" s="60">
        <v>13050300</v>
      </c>
      <c r="D36" s="37">
        <v>0</v>
      </c>
      <c r="E36" s="37">
        <v>0</v>
      </c>
      <c r="F36" s="152">
        <v>0</v>
      </c>
      <c r="G36" s="45">
        <f t="shared" si="16"/>
        <v>0</v>
      </c>
      <c r="H36" s="36" t="e">
        <f t="shared" si="17"/>
        <v>#DIV/0!</v>
      </c>
      <c r="I36" s="52">
        <f t="shared" si="20"/>
        <v>0</v>
      </c>
      <c r="J36" s="52" t="e">
        <f t="shared" si="18"/>
        <v>#DIV/0!</v>
      </c>
      <c r="K36" s="52">
        <f t="shared" si="21"/>
        <v>-6172.8</v>
      </c>
      <c r="L36" s="52">
        <f t="shared" si="22"/>
        <v>0</v>
      </c>
      <c r="M36" s="36">
        <f t="shared" si="6"/>
        <v>0</v>
      </c>
      <c r="N36" s="36">
        <f t="shared" si="7"/>
        <v>0</v>
      </c>
      <c r="O36" s="49">
        <f t="shared" si="3"/>
        <v>0</v>
      </c>
      <c r="P36" s="52" t="e">
        <f t="shared" si="19"/>
        <v>#DIV/0!</v>
      </c>
      <c r="Q36" s="134">
        <f t="shared" si="23"/>
        <v>-6172.8</v>
      </c>
      <c r="R36" s="135">
        <f t="shared" si="24"/>
        <v>0</v>
      </c>
    </row>
    <row r="37" spans="1:18" s="6" customFormat="1" ht="31.5" hidden="1">
      <c r="A37" s="8"/>
      <c r="B37" s="14" t="s">
        <v>36</v>
      </c>
      <c r="C37" s="60">
        <v>13050400</v>
      </c>
      <c r="D37" s="37">
        <v>0</v>
      </c>
      <c r="E37" s="37">
        <v>0</v>
      </c>
      <c r="F37" s="152">
        <v>0</v>
      </c>
      <c r="G37" s="45">
        <f t="shared" si="16"/>
        <v>0</v>
      </c>
      <c r="H37" s="36" t="e">
        <f t="shared" si="17"/>
        <v>#DIV/0!</v>
      </c>
      <c r="I37" s="52">
        <f t="shared" si="20"/>
        <v>0</v>
      </c>
      <c r="J37" s="52" t="e">
        <f t="shared" si="18"/>
        <v>#DIV/0!</v>
      </c>
      <c r="K37" s="52">
        <f t="shared" si="21"/>
        <v>-6172.8</v>
      </c>
      <c r="L37" s="52">
        <f t="shared" si="22"/>
        <v>0</v>
      </c>
      <c r="M37" s="36">
        <f t="shared" si="6"/>
        <v>0</v>
      </c>
      <c r="N37" s="36">
        <f t="shared" si="7"/>
        <v>0</v>
      </c>
      <c r="O37" s="49">
        <f t="shared" si="3"/>
        <v>0</v>
      </c>
      <c r="P37" s="52" t="e">
        <f t="shared" si="19"/>
        <v>#DIV/0!</v>
      </c>
      <c r="Q37" s="134">
        <f t="shared" si="23"/>
        <v>-6172.8</v>
      </c>
      <c r="R37" s="135">
        <f t="shared" si="24"/>
        <v>0</v>
      </c>
    </row>
    <row r="38" spans="1:18" s="6" customFormat="1" ht="15.75" hidden="1">
      <c r="A38" s="8"/>
      <c r="B38" s="14" t="s">
        <v>37</v>
      </c>
      <c r="C38" s="60">
        <v>13050500</v>
      </c>
      <c r="D38" s="37">
        <v>0</v>
      </c>
      <c r="E38" s="37">
        <v>0</v>
      </c>
      <c r="F38" s="152">
        <v>0</v>
      </c>
      <c r="G38" s="45">
        <f t="shared" si="16"/>
        <v>0</v>
      </c>
      <c r="H38" s="36" t="e">
        <f t="shared" si="17"/>
        <v>#DIV/0!</v>
      </c>
      <c r="I38" s="52">
        <f t="shared" si="20"/>
        <v>0</v>
      </c>
      <c r="J38" s="52" t="e">
        <f t="shared" si="18"/>
        <v>#DIV/0!</v>
      </c>
      <c r="K38" s="52">
        <f t="shared" si="21"/>
        <v>-6172.8</v>
      </c>
      <c r="L38" s="52">
        <f t="shared" si="22"/>
        <v>0</v>
      </c>
      <c r="M38" s="36">
        <f t="shared" si="6"/>
        <v>0</v>
      </c>
      <c r="N38" s="36">
        <f t="shared" si="7"/>
        <v>0</v>
      </c>
      <c r="O38" s="49">
        <f t="shared" si="3"/>
        <v>0</v>
      </c>
      <c r="P38" s="52" t="e">
        <f t="shared" si="19"/>
        <v>#DIV/0!</v>
      </c>
      <c r="Q38" s="134">
        <f t="shared" si="23"/>
        <v>-6172.8</v>
      </c>
      <c r="R38" s="135">
        <f t="shared" si="24"/>
        <v>0</v>
      </c>
    </row>
    <row r="39" spans="1:18" s="6" customFormat="1" ht="31.5" hidden="1">
      <c r="A39" s="8"/>
      <c r="B39" s="14" t="s">
        <v>38</v>
      </c>
      <c r="C39" s="60">
        <v>13050600</v>
      </c>
      <c r="D39" s="37">
        <v>0</v>
      </c>
      <c r="E39" s="37">
        <v>0</v>
      </c>
      <c r="F39" s="152">
        <v>0</v>
      </c>
      <c r="G39" s="45">
        <f t="shared" si="16"/>
        <v>0</v>
      </c>
      <c r="H39" s="36" t="e">
        <f t="shared" si="17"/>
        <v>#DIV/0!</v>
      </c>
      <c r="I39" s="52">
        <f t="shared" si="20"/>
        <v>0</v>
      </c>
      <c r="J39" s="52" t="e">
        <f t="shared" si="18"/>
        <v>#DIV/0!</v>
      </c>
      <c r="K39" s="52">
        <f t="shared" si="21"/>
        <v>-6172.8</v>
      </c>
      <c r="L39" s="52">
        <f t="shared" si="22"/>
        <v>0</v>
      </c>
      <c r="M39" s="36">
        <f t="shared" si="6"/>
        <v>0</v>
      </c>
      <c r="N39" s="36">
        <f t="shared" si="7"/>
        <v>0</v>
      </c>
      <c r="O39" s="49">
        <f t="shared" si="3"/>
        <v>0</v>
      </c>
      <c r="P39" s="52" t="e">
        <f t="shared" si="19"/>
        <v>#DIV/0!</v>
      </c>
      <c r="Q39" s="134">
        <f t="shared" si="23"/>
        <v>-6172.8</v>
      </c>
      <c r="R39" s="135">
        <f t="shared" si="24"/>
        <v>0</v>
      </c>
    </row>
    <row r="40" spans="1:18" s="6" customFormat="1" ht="15.75" hidden="1">
      <c r="A40" s="8"/>
      <c r="B40" s="11" t="s">
        <v>39</v>
      </c>
      <c r="C40" s="59">
        <v>14000000</v>
      </c>
      <c r="D40" s="37">
        <v>0</v>
      </c>
      <c r="E40" s="37">
        <v>0</v>
      </c>
      <c r="F40" s="152">
        <v>0</v>
      </c>
      <c r="G40" s="45">
        <f t="shared" si="16"/>
        <v>0</v>
      </c>
      <c r="H40" s="36" t="e">
        <f t="shared" si="17"/>
        <v>#DIV/0!</v>
      </c>
      <c r="I40" s="52">
        <f t="shared" si="20"/>
        <v>0</v>
      </c>
      <c r="J40" s="52" t="e">
        <f t="shared" si="18"/>
        <v>#DIV/0!</v>
      </c>
      <c r="K40" s="52">
        <f t="shared" si="21"/>
        <v>-6172.8</v>
      </c>
      <c r="L40" s="52">
        <f t="shared" si="22"/>
        <v>0</v>
      </c>
      <c r="M40" s="36">
        <f t="shared" si="6"/>
        <v>0</v>
      </c>
      <c r="N40" s="36">
        <f t="shared" si="7"/>
        <v>0</v>
      </c>
      <c r="O40" s="49">
        <f t="shared" si="3"/>
        <v>0</v>
      </c>
      <c r="P40" s="52" t="e">
        <f t="shared" si="19"/>
        <v>#DIV/0!</v>
      </c>
      <c r="Q40" s="134">
        <f t="shared" si="23"/>
        <v>-6172.8</v>
      </c>
      <c r="R40" s="135">
        <f t="shared" si="24"/>
        <v>0</v>
      </c>
    </row>
    <row r="41" spans="1:18" s="6" customFormat="1" ht="15.75" hidden="1">
      <c r="A41" s="8"/>
      <c r="B41" s="12" t="s">
        <v>40</v>
      </c>
      <c r="C41" s="61">
        <v>14020000</v>
      </c>
      <c r="D41" s="37">
        <v>0</v>
      </c>
      <c r="E41" s="37">
        <v>0</v>
      </c>
      <c r="F41" s="152">
        <v>0</v>
      </c>
      <c r="G41" s="45">
        <f t="shared" si="16"/>
        <v>0</v>
      </c>
      <c r="H41" s="36" t="e">
        <f t="shared" si="17"/>
        <v>#DIV/0!</v>
      </c>
      <c r="I41" s="52">
        <f t="shared" si="20"/>
        <v>0</v>
      </c>
      <c r="J41" s="52" t="e">
        <f t="shared" si="18"/>
        <v>#DIV/0!</v>
      </c>
      <c r="K41" s="52">
        <f t="shared" si="21"/>
        <v>-6172.8</v>
      </c>
      <c r="L41" s="52">
        <f t="shared" si="22"/>
        <v>0</v>
      </c>
      <c r="M41" s="36">
        <f t="shared" si="6"/>
        <v>0</v>
      </c>
      <c r="N41" s="36">
        <f t="shared" si="7"/>
        <v>0</v>
      </c>
      <c r="O41" s="49">
        <f t="shared" si="3"/>
        <v>0</v>
      </c>
      <c r="P41" s="52" t="e">
        <f t="shared" si="19"/>
        <v>#DIV/0!</v>
      </c>
      <c r="Q41" s="134">
        <f t="shared" si="23"/>
        <v>-6172.8</v>
      </c>
      <c r="R41" s="135">
        <f t="shared" si="24"/>
        <v>0</v>
      </c>
    </row>
    <row r="42" spans="1:18" s="6" customFormat="1" ht="15.75" hidden="1">
      <c r="A42" s="8"/>
      <c r="B42" s="14" t="s">
        <v>41</v>
      </c>
      <c r="C42" s="60">
        <v>14020100</v>
      </c>
      <c r="D42" s="37">
        <v>0</v>
      </c>
      <c r="E42" s="37">
        <v>0</v>
      </c>
      <c r="F42" s="152">
        <v>0</v>
      </c>
      <c r="G42" s="45">
        <f t="shared" si="16"/>
        <v>0</v>
      </c>
      <c r="H42" s="36" t="e">
        <f t="shared" si="17"/>
        <v>#DIV/0!</v>
      </c>
      <c r="I42" s="52">
        <f t="shared" si="20"/>
        <v>0</v>
      </c>
      <c r="J42" s="52" t="e">
        <f t="shared" si="18"/>
        <v>#DIV/0!</v>
      </c>
      <c r="K42" s="52">
        <f t="shared" si="21"/>
        <v>-6172.8</v>
      </c>
      <c r="L42" s="52">
        <f t="shared" si="22"/>
        <v>0</v>
      </c>
      <c r="M42" s="36">
        <f t="shared" si="6"/>
        <v>0</v>
      </c>
      <c r="N42" s="36">
        <f t="shared" si="7"/>
        <v>0</v>
      </c>
      <c r="O42" s="49">
        <f t="shared" si="3"/>
        <v>0</v>
      </c>
      <c r="P42" s="52" t="e">
        <f t="shared" si="19"/>
        <v>#DIV/0!</v>
      </c>
      <c r="Q42" s="134">
        <f t="shared" si="23"/>
        <v>-6172.8</v>
      </c>
      <c r="R42" s="135">
        <f t="shared" si="24"/>
        <v>0</v>
      </c>
    </row>
    <row r="43" spans="1:18" s="6" customFormat="1" ht="15.75" hidden="1">
      <c r="A43" s="8"/>
      <c r="B43" s="14" t="s">
        <v>42</v>
      </c>
      <c r="C43" s="60">
        <v>14020200</v>
      </c>
      <c r="D43" s="37">
        <v>0</v>
      </c>
      <c r="E43" s="37">
        <v>0</v>
      </c>
      <c r="F43" s="152">
        <v>0</v>
      </c>
      <c r="G43" s="45">
        <f t="shared" si="16"/>
        <v>0</v>
      </c>
      <c r="H43" s="36" t="e">
        <f t="shared" si="17"/>
        <v>#DIV/0!</v>
      </c>
      <c r="I43" s="52">
        <f t="shared" si="20"/>
        <v>0</v>
      </c>
      <c r="J43" s="52" t="e">
        <f t="shared" si="18"/>
        <v>#DIV/0!</v>
      </c>
      <c r="K43" s="52">
        <f t="shared" si="21"/>
        <v>-6172.8</v>
      </c>
      <c r="L43" s="52">
        <f t="shared" si="22"/>
        <v>0</v>
      </c>
      <c r="M43" s="36">
        <f t="shared" si="6"/>
        <v>0</v>
      </c>
      <c r="N43" s="36">
        <f t="shared" si="7"/>
        <v>0</v>
      </c>
      <c r="O43" s="49">
        <f t="shared" si="3"/>
        <v>0</v>
      </c>
      <c r="P43" s="52" t="e">
        <f t="shared" si="19"/>
        <v>#DIV/0!</v>
      </c>
      <c r="Q43" s="134">
        <f t="shared" si="23"/>
        <v>-6172.8</v>
      </c>
      <c r="R43" s="135">
        <f t="shared" si="24"/>
        <v>0</v>
      </c>
    </row>
    <row r="44" spans="1:18" s="6" customFormat="1" ht="15.75" hidden="1">
      <c r="A44" s="8"/>
      <c r="B44" s="14" t="s">
        <v>43</v>
      </c>
      <c r="C44" s="60">
        <v>14020300</v>
      </c>
      <c r="D44" s="37">
        <v>0</v>
      </c>
      <c r="E44" s="37">
        <v>0</v>
      </c>
      <c r="F44" s="152">
        <v>0</v>
      </c>
      <c r="G44" s="45">
        <f t="shared" si="16"/>
        <v>0</v>
      </c>
      <c r="H44" s="36" t="e">
        <f t="shared" si="17"/>
        <v>#DIV/0!</v>
      </c>
      <c r="I44" s="52">
        <f t="shared" si="20"/>
        <v>0</v>
      </c>
      <c r="J44" s="52" t="e">
        <f t="shared" si="18"/>
        <v>#DIV/0!</v>
      </c>
      <c r="K44" s="52">
        <f t="shared" si="21"/>
        <v>-6172.8</v>
      </c>
      <c r="L44" s="52">
        <f t="shared" si="22"/>
        <v>0</v>
      </c>
      <c r="M44" s="36">
        <f t="shared" si="6"/>
        <v>0</v>
      </c>
      <c r="N44" s="36">
        <f t="shared" si="7"/>
        <v>0</v>
      </c>
      <c r="O44" s="49">
        <f t="shared" si="3"/>
        <v>0</v>
      </c>
      <c r="P44" s="52" t="e">
        <f t="shared" si="19"/>
        <v>#DIV/0!</v>
      </c>
      <c r="Q44" s="134">
        <f t="shared" si="23"/>
        <v>-6172.8</v>
      </c>
      <c r="R44" s="135">
        <f t="shared" si="24"/>
        <v>0</v>
      </c>
    </row>
    <row r="45" spans="1:18" s="6" customFormat="1" ht="15.75" hidden="1">
      <c r="A45" s="8"/>
      <c r="B45" s="14" t="s">
        <v>44</v>
      </c>
      <c r="C45" s="60">
        <v>14020400</v>
      </c>
      <c r="D45" s="37">
        <v>0</v>
      </c>
      <c r="E45" s="37">
        <v>0</v>
      </c>
      <c r="F45" s="152">
        <v>0</v>
      </c>
      <c r="G45" s="45">
        <f t="shared" si="16"/>
        <v>0</v>
      </c>
      <c r="H45" s="36" t="e">
        <f t="shared" si="17"/>
        <v>#DIV/0!</v>
      </c>
      <c r="I45" s="52">
        <f t="shared" si="20"/>
        <v>0</v>
      </c>
      <c r="J45" s="52" t="e">
        <f t="shared" si="18"/>
        <v>#DIV/0!</v>
      </c>
      <c r="K45" s="52">
        <f t="shared" si="21"/>
        <v>-6172.8</v>
      </c>
      <c r="L45" s="52">
        <f t="shared" si="22"/>
        <v>0</v>
      </c>
      <c r="M45" s="36">
        <f t="shared" si="6"/>
        <v>0</v>
      </c>
      <c r="N45" s="36">
        <f t="shared" si="7"/>
        <v>0</v>
      </c>
      <c r="O45" s="49">
        <f t="shared" si="3"/>
        <v>0</v>
      </c>
      <c r="P45" s="52" t="e">
        <f t="shared" si="19"/>
        <v>#DIV/0!</v>
      </c>
      <c r="Q45" s="134">
        <f t="shared" si="23"/>
        <v>-6172.8</v>
      </c>
      <c r="R45" s="135">
        <f t="shared" si="24"/>
        <v>0</v>
      </c>
    </row>
    <row r="46" spans="1:18" s="6" customFormat="1" ht="15.75" hidden="1">
      <c r="A46" s="8"/>
      <c r="B46" s="14" t="s">
        <v>45</v>
      </c>
      <c r="C46" s="60">
        <v>14020700</v>
      </c>
      <c r="D46" s="37">
        <v>0</v>
      </c>
      <c r="E46" s="37">
        <v>0</v>
      </c>
      <c r="F46" s="152">
        <v>0</v>
      </c>
      <c r="G46" s="45">
        <f t="shared" si="16"/>
        <v>0</v>
      </c>
      <c r="H46" s="36" t="e">
        <f t="shared" si="17"/>
        <v>#DIV/0!</v>
      </c>
      <c r="I46" s="52">
        <f t="shared" si="20"/>
        <v>0</v>
      </c>
      <c r="J46" s="52" t="e">
        <f t="shared" si="18"/>
        <v>#DIV/0!</v>
      </c>
      <c r="K46" s="52">
        <f t="shared" si="21"/>
        <v>-6172.8</v>
      </c>
      <c r="L46" s="52">
        <f t="shared" si="22"/>
        <v>0</v>
      </c>
      <c r="M46" s="36">
        <f t="shared" si="6"/>
        <v>0</v>
      </c>
      <c r="N46" s="36">
        <f t="shared" si="7"/>
        <v>0</v>
      </c>
      <c r="O46" s="49">
        <f t="shared" si="3"/>
        <v>0</v>
      </c>
      <c r="P46" s="52" t="e">
        <f t="shared" si="19"/>
        <v>#DIV/0!</v>
      </c>
      <c r="Q46" s="134">
        <f t="shared" si="23"/>
        <v>-6172.8</v>
      </c>
      <c r="R46" s="135">
        <f t="shared" si="24"/>
        <v>0</v>
      </c>
    </row>
    <row r="47" spans="1:18" s="6" customFormat="1" ht="15.75" hidden="1">
      <c r="A47" s="8"/>
      <c r="B47" s="14" t="s">
        <v>46</v>
      </c>
      <c r="C47" s="60" t="s">
        <v>47</v>
      </c>
      <c r="D47" s="37">
        <v>0</v>
      </c>
      <c r="E47" s="37">
        <v>0</v>
      </c>
      <c r="F47" s="152">
        <v>0</v>
      </c>
      <c r="G47" s="45">
        <f t="shared" si="16"/>
        <v>0</v>
      </c>
      <c r="H47" s="36" t="e">
        <f t="shared" si="17"/>
        <v>#DIV/0!</v>
      </c>
      <c r="I47" s="52">
        <f t="shared" si="20"/>
        <v>0</v>
      </c>
      <c r="J47" s="52" t="e">
        <f t="shared" si="18"/>
        <v>#DIV/0!</v>
      </c>
      <c r="K47" s="52">
        <f t="shared" si="21"/>
        <v>-6172.8</v>
      </c>
      <c r="L47" s="52">
        <f t="shared" si="22"/>
        <v>0</v>
      </c>
      <c r="M47" s="36">
        <f t="shared" si="6"/>
        <v>0</v>
      </c>
      <c r="N47" s="36">
        <f t="shared" si="7"/>
        <v>0</v>
      </c>
      <c r="O47" s="49">
        <f t="shared" si="3"/>
        <v>0</v>
      </c>
      <c r="P47" s="52" t="e">
        <f t="shared" si="19"/>
        <v>#DIV/0!</v>
      </c>
      <c r="Q47" s="134">
        <f t="shared" si="23"/>
        <v>-6172.8</v>
      </c>
      <c r="R47" s="135">
        <f t="shared" si="24"/>
        <v>0</v>
      </c>
    </row>
    <row r="48" spans="1:18" s="6" customFormat="1" ht="15.75" hidden="1">
      <c r="A48" s="8"/>
      <c r="B48" s="14" t="s">
        <v>48</v>
      </c>
      <c r="C48" s="60" t="s">
        <v>49</v>
      </c>
      <c r="D48" s="37">
        <v>0</v>
      </c>
      <c r="E48" s="37">
        <v>0</v>
      </c>
      <c r="F48" s="152">
        <v>0</v>
      </c>
      <c r="G48" s="45">
        <f t="shared" si="16"/>
        <v>0</v>
      </c>
      <c r="H48" s="36" t="e">
        <f t="shared" si="17"/>
        <v>#DIV/0!</v>
      </c>
      <c r="I48" s="52">
        <f t="shared" si="20"/>
        <v>0</v>
      </c>
      <c r="J48" s="52" t="e">
        <f t="shared" si="18"/>
        <v>#DIV/0!</v>
      </c>
      <c r="K48" s="52">
        <f t="shared" si="21"/>
        <v>-6172.8</v>
      </c>
      <c r="L48" s="52">
        <f t="shared" si="22"/>
        <v>0</v>
      </c>
      <c r="M48" s="36">
        <f t="shared" si="6"/>
        <v>0</v>
      </c>
      <c r="N48" s="36">
        <f t="shared" si="7"/>
        <v>0</v>
      </c>
      <c r="O48" s="49">
        <f t="shared" si="3"/>
        <v>0</v>
      </c>
      <c r="P48" s="52" t="e">
        <f t="shared" si="19"/>
        <v>#DIV/0!</v>
      </c>
      <c r="Q48" s="134">
        <f t="shared" si="23"/>
        <v>-6172.8</v>
      </c>
      <c r="R48" s="135">
        <f t="shared" si="24"/>
        <v>0</v>
      </c>
    </row>
    <row r="49" spans="1:18" s="6" customFormat="1" ht="47.25" hidden="1">
      <c r="A49" s="8"/>
      <c r="B49" s="14" t="s">
        <v>50</v>
      </c>
      <c r="C49" s="60">
        <v>14022100</v>
      </c>
      <c r="D49" s="37">
        <v>0</v>
      </c>
      <c r="E49" s="37">
        <v>0</v>
      </c>
      <c r="F49" s="152">
        <v>0</v>
      </c>
      <c r="G49" s="45">
        <f t="shared" si="16"/>
        <v>0</v>
      </c>
      <c r="H49" s="36" t="e">
        <f t="shared" si="17"/>
        <v>#DIV/0!</v>
      </c>
      <c r="I49" s="52">
        <f t="shared" si="20"/>
        <v>0</v>
      </c>
      <c r="J49" s="52" t="e">
        <f t="shared" si="18"/>
        <v>#DIV/0!</v>
      </c>
      <c r="K49" s="52">
        <f t="shared" si="21"/>
        <v>-6172.8</v>
      </c>
      <c r="L49" s="52">
        <f t="shared" si="22"/>
        <v>0</v>
      </c>
      <c r="M49" s="36">
        <f t="shared" si="6"/>
        <v>0</v>
      </c>
      <c r="N49" s="36">
        <f t="shared" si="7"/>
        <v>0</v>
      </c>
      <c r="O49" s="49">
        <f t="shared" si="3"/>
        <v>0</v>
      </c>
      <c r="P49" s="52" t="e">
        <f t="shared" si="19"/>
        <v>#DIV/0!</v>
      </c>
      <c r="Q49" s="134">
        <f t="shared" si="23"/>
        <v>-6172.8</v>
      </c>
      <c r="R49" s="135">
        <f t="shared" si="24"/>
        <v>0</v>
      </c>
    </row>
    <row r="50" spans="1:18" s="6" customFormat="1" ht="31.5" hidden="1">
      <c r="A50" s="8"/>
      <c r="B50" s="12" t="s">
        <v>51</v>
      </c>
      <c r="C50" s="61">
        <v>14060000</v>
      </c>
      <c r="D50" s="37">
        <v>0</v>
      </c>
      <c r="E50" s="37">
        <v>0</v>
      </c>
      <c r="F50" s="152">
        <v>0</v>
      </c>
      <c r="G50" s="45">
        <f t="shared" si="16"/>
        <v>0</v>
      </c>
      <c r="H50" s="36" t="e">
        <f t="shared" si="17"/>
        <v>#DIV/0!</v>
      </c>
      <c r="I50" s="52">
        <f t="shared" si="20"/>
        <v>0</v>
      </c>
      <c r="J50" s="52" t="e">
        <f t="shared" si="18"/>
        <v>#DIV/0!</v>
      </c>
      <c r="K50" s="52">
        <f t="shared" si="21"/>
        <v>-6172.8</v>
      </c>
      <c r="L50" s="52">
        <f t="shared" si="22"/>
        <v>0</v>
      </c>
      <c r="M50" s="36">
        <f t="shared" si="6"/>
        <v>0</v>
      </c>
      <c r="N50" s="36">
        <f t="shared" si="7"/>
        <v>0</v>
      </c>
      <c r="O50" s="49">
        <f t="shared" si="3"/>
        <v>0</v>
      </c>
      <c r="P50" s="52" t="e">
        <f t="shared" si="19"/>
        <v>#DIV/0!</v>
      </c>
      <c r="Q50" s="134">
        <f t="shared" si="23"/>
        <v>-6172.8</v>
      </c>
      <c r="R50" s="135">
        <f t="shared" si="24"/>
        <v>0</v>
      </c>
    </row>
    <row r="51" spans="1:18" s="6" customFormat="1" ht="15.75" hidden="1">
      <c r="A51" s="8"/>
      <c r="B51" s="12" t="s">
        <v>120</v>
      </c>
      <c r="C51" s="61"/>
      <c r="D51" s="37">
        <v>0</v>
      </c>
      <c r="E51" s="37">
        <v>0</v>
      </c>
      <c r="F51" s="152">
        <v>0</v>
      </c>
      <c r="G51" s="45">
        <f t="shared" si="16"/>
        <v>0</v>
      </c>
      <c r="H51" s="36" t="e">
        <f t="shared" si="17"/>
        <v>#DIV/0!</v>
      </c>
      <c r="I51" s="52">
        <f t="shared" si="20"/>
        <v>0</v>
      </c>
      <c r="J51" s="52" t="e">
        <f t="shared" si="18"/>
        <v>#DIV/0!</v>
      </c>
      <c r="K51" s="52">
        <f t="shared" si="21"/>
        <v>-6172.8</v>
      </c>
      <c r="L51" s="52">
        <f t="shared" si="22"/>
        <v>0</v>
      </c>
      <c r="M51" s="36">
        <f t="shared" si="6"/>
        <v>0</v>
      </c>
      <c r="N51" s="36">
        <f t="shared" si="7"/>
        <v>0</v>
      </c>
      <c r="O51" s="49">
        <f t="shared" si="3"/>
        <v>0</v>
      </c>
      <c r="P51" s="52" t="e">
        <f t="shared" si="19"/>
        <v>#DIV/0!</v>
      </c>
      <c r="Q51" s="134">
        <f t="shared" si="23"/>
        <v>-6172.8</v>
      </c>
      <c r="R51" s="135">
        <f t="shared" si="24"/>
        <v>0</v>
      </c>
    </row>
    <row r="52" spans="1:18" s="6" customFormat="1" ht="15.75" hidden="1">
      <c r="A52" s="8"/>
      <c r="B52" s="15" t="s">
        <v>52</v>
      </c>
      <c r="C52" s="60">
        <v>14060100</v>
      </c>
      <c r="D52" s="37">
        <v>0</v>
      </c>
      <c r="E52" s="37">
        <v>0</v>
      </c>
      <c r="F52" s="152">
        <v>0</v>
      </c>
      <c r="G52" s="45">
        <f t="shared" si="16"/>
        <v>0</v>
      </c>
      <c r="H52" s="36" t="e">
        <f t="shared" si="17"/>
        <v>#DIV/0!</v>
      </c>
      <c r="I52" s="52">
        <f t="shared" si="20"/>
        <v>0</v>
      </c>
      <c r="J52" s="52" t="e">
        <f t="shared" si="18"/>
        <v>#DIV/0!</v>
      </c>
      <c r="K52" s="52">
        <f t="shared" si="21"/>
        <v>-6172.8</v>
      </c>
      <c r="L52" s="52">
        <f t="shared" si="22"/>
        <v>0</v>
      </c>
      <c r="M52" s="36">
        <f t="shared" si="6"/>
        <v>0</v>
      </c>
      <c r="N52" s="36">
        <f t="shared" si="7"/>
        <v>0</v>
      </c>
      <c r="O52" s="49">
        <f t="shared" si="3"/>
        <v>0</v>
      </c>
      <c r="P52" s="52" t="e">
        <f t="shared" si="19"/>
        <v>#DIV/0!</v>
      </c>
      <c r="Q52" s="134">
        <f t="shared" si="23"/>
        <v>-6172.8</v>
      </c>
      <c r="R52" s="135">
        <f t="shared" si="24"/>
        <v>0</v>
      </c>
    </row>
    <row r="53" spans="1:18" s="6" customFormat="1" ht="15.75" hidden="1">
      <c r="A53" s="8"/>
      <c r="B53" s="15" t="s">
        <v>52</v>
      </c>
      <c r="C53" s="60">
        <v>14060100</v>
      </c>
      <c r="D53" s="37">
        <v>0</v>
      </c>
      <c r="E53" s="37">
        <v>0</v>
      </c>
      <c r="F53" s="152">
        <v>0</v>
      </c>
      <c r="G53" s="45">
        <f t="shared" si="16"/>
        <v>0</v>
      </c>
      <c r="H53" s="36" t="e">
        <f t="shared" si="17"/>
        <v>#DIV/0!</v>
      </c>
      <c r="I53" s="52">
        <f t="shared" si="20"/>
        <v>0</v>
      </c>
      <c r="J53" s="52" t="e">
        <f t="shared" si="18"/>
        <v>#DIV/0!</v>
      </c>
      <c r="K53" s="52">
        <f t="shared" si="21"/>
        <v>-6172.8</v>
      </c>
      <c r="L53" s="52">
        <f t="shared" si="22"/>
        <v>0</v>
      </c>
      <c r="M53" s="36">
        <f t="shared" si="6"/>
        <v>0</v>
      </c>
      <c r="N53" s="36">
        <f t="shared" si="7"/>
        <v>0</v>
      </c>
      <c r="O53" s="49">
        <f t="shared" si="3"/>
        <v>0</v>
      </c>
      <c r="P53" s="52" t="e">
        <f t="shared" si="19"/>
        <v>#DIV/0!</v>
      </c>
      <c r="Q53" s="134">
        <f t="shared" si="23"/>
        <v>-6172.8</v>
      </c>
      <c r="R53" s="135">
        <f t="shared" si="24"/>
        <v>0</v>
      </c>
    </row>
    <row r="54" spans="1:18" s="6" customFormat="1" ht="15.75" hidden="1">
      <c r="A54" s="8"/>
      <c r="B54" s="40" t="s">
        <v>52</v>
      </c>
      <c r="C54" s="60">
        <v>14060100</v>
      </c>
      <c r="D54" s="37">
        <v>0</v>
      </c>
      <c r="E54" s="37">
        <v>0</v>
      </c>
      <c r="F54" s="152">
        <v>0</v>
      </c>
      <c r="G54" s="45">
        <f t="shared" si="16"/>
        <v>0</v>
      </c>
      <c r="H54" s="36" t="e">
        <f t="shared" si="17"/>
        <v>#DIV/0!</v>
      </c>
      <c r="I54" s="52">
        <f t="shared" si="20"/>
        <v>0</v>
      </c>
      <c r="J54" s="52" t="e">
        <f t="shared" si="18"/>
        <v>#DIV/0!</v>
      </c>
      <c r="K54" s="52">
        <f t="shared" si="21"/>
        <v>-6172.8</v>
      </c>
      <c r="L54" s="52">
        <f t="shared" si="22"/>
        <v>0</v>
      </c>
      <c r="M54" s="36">
        <f t="shared" si="6"/>
        <v>0</v>
      </c>
      <c r="N54" s="36">
        <f t="shared" si="7"/>
        <v>0</v>
      </c>
      <c r="O54" s="49">
        <f t="shared" si="3"/>
        <v>0</v>
      </c>
      <c r="P54" s="52" t="e">
        <f t="shared" si="19"/>
        <v>#DIV/0!</v>
      </c>
      <c r="Q54" s="134">
        <f t="shared" si="23"/>
        <v>-6172.8</v>
      </c>
      <c r="R54" s="135">
        <f t="shared" si="24"/>
        <v>0</v>
      </c>
    </row>
    <row r="55" spans="1:18" s="6" customFormat="1" ht="15.75">
      <c r="A55" s="8"/>
      <c r="B55" s="71" t="s">
        <v>179</v>
      </c>
      <c r="C55" s="60"/>
      <c r="D55" s="137">
        <v>31600</v>
      </c>
      <c r="E55" s="137">
        <v>5250</v>
      </c>
      <c r="F55" s="153">
        <v>265.26</v>
      </c>
      <c r="G55" s="137">
        <f t="shared" si="16"/>
        <v>-4984.74</v>
      </c>
      <c r="H55" s="139">
        <f t="shared" si="17"/>
        <v>5.0525714285714285</v>
      </c>
      <c r="I55" s="138">
        <f t="shared" si="20"/>
        <v>-31334.74</v>
      </c>
      <c r="J55" s="138">
        <f t="shared" si="18"/>
        <v>0.8394303797468354</v>
      </c>
      <c r="K55" s="138">
        <f>F55-4687.91</f>
        <v>-4422.65</v>
      </c>
      <c r="L55" s="138">
        <f>F55/4687.91*100</f>
        <v>5.658385079918343</v>
      </c>
      <c r="M55" s="139">
        <f t="shared" si="6"/>
        <v>5250</v>
      </c>
      <c r="N55" s="139">
        <f t="shared" si="7"/>
        <v>265.26</v>
      </c>
      <c r="O55" s="140">
        <f t="shared" si="3"/>
        <v>-4984.74</v>
      </c>
      <c r="P55" s="138">
        <f t="shared" si="19"/>
        <v>5.0525714285714285</v>
      </c>
      <c r="Q55" s="143">
        <f>N55-4687.91</f>
        <v>-4422.65</v>
      </c>
      <c r="R55" s="144">
        <f>N55/4687.91</f>
        <v>0.05658385079918343</v>
      </c>
    </row>
    <row r="56" spans="1:18" s="6" customFormat="1" ht="15.75" customHeight="1">
      <c r="A56" s="8"/>
      <c r="B56" s="15" t="s">
        <v>53</v>
      </c>
      <c r="C56" s="61">
        <v>18000000</v>
      </c>
      <c r="D56" s="37">
        <v>3627</v>
      </c>
      <c r="E56" s="37">
        <v>553</v>
      </c>
      <c r="F56" s="152">
        <v>46.08</v>
      </c>
      <c r="G56" s="45">
        <f aca="true" t="shared" si="25" ref="G56:G72">F56-E56</f>
        <v>-506.92</v>
      </c>
      <c r="H56" s="36">
        <f aca="true" t="shared" si="26" ref="H56:H67">F56/E56*100</f>
        <v>8.332730560578662</v>
      </c>
      <c r="I56" s="52">
        <f aca="true" t="shared" si="27" ref="I56:I72">F56-D56</f>
        <v>-3580.92</v>
      </c>
      <c r="J56" s="52">
        <f aca="true" t="shared" si="28" ref="J56:J72">F56/D56*100</f>
        <v>1.2704714640198511</v>
      </c>
      <c r="K56" s="52">
        <f>F56-527.8</f>
        <v>-481.71999999999997</v>
      </c>
      <c r="L56" s="52">
        <f>F56/527.8*100</f>
        <v>8.730579765062524</v>
      </c>
      <c r="M56" s="36">
        <f t="shared" si="6"/>
        <v>553</v>
      </c>
      <c r="N56" s="36">
        <f t="shared" si="7"/>
        <v>46.08</v>
      </c>
      <c r="O56" s="49">
        <f aca="true" t="shared" si="29" ref="O56:O72">N56-M56</f>
        <v>-506.92</v>
      </c>
      <c r="P56" s="52">
        <f aca="true" t="shared" si="30" ref="P56:P67">N56/M56*100</f>
        <v>8.332730560578662</v>
      </c>
      <c r="Q56" s="52">
        <f>N56-527.8</f>
        <v>-481.71999999999997</v>
      </c>
      <c r="R56" s="128">
        <f>N56/527.8</f>
        <v>0.08730579765062524</v>
      </c>
    </row>
    <row r="57" spans="1:18" s="6" customFormat="1" ht="15.75" customHeight="1" hidden="1">
      <c r="A57" s="8"/>
      <c r="B57" s="15" t="s">
        <v>54</v>
      </c>
      <c r="C57" s="60">
        <v>16010100</v>
      </c>
      <c r="D57" s="37">
        <v>0</v>
      </c>
      <c r="E57" s="37">
        <v>0</v>
      </c>
      <c r="F57" s="152">
        <v>0</v>
      </c>
      <c r="G57" s="45">
        <f t="shared" si="25"/>
        <v>0</v>
      </c>
      <c r="H57" s="36" t="e">
        <f t="shared" si="26"/>
        <v>#DIV/0!</v>
      </c>
      <c r="I57" s="52">
        <f t="shared" si="27"/>
        <v>0</v>
      </c>
      <c r="J57" s="52" t="e">
        <f t="shared" si="28"/>
        <v>#DIV/0!</v>
      </c>
      <c r="K57" s="52"/>
      <c r="L57" s="52">
        <f aca="true" t="shared" si="31" ref="L57:L67">F57/527.8*100</f>
        <v>0</v>
      </c>
      <c r="M57" s="36">
        <f t="shared" si="6"/>
        <v>0</v>
      </c>
      <c r="N57" s="36">
        <f t="shared" si="7"/>
        <v>0</v>
      </c>
      <c r="O57" s="49">
        <f t="shared" si="29"/>
        <v>0</v>
      </c>
      <c r="P57" s="52" t="e">
        <f t="shared" si="30"/>
        <v>#DIV/0!</v>
      </c>
      <c r="Q57" s="52"/>
      <c r="R57" s="128"/>
    </row>
    <row r="58" spans="1:18" s="6" customFormat="1" ht="15.75" customHeight="1" hidden="1">
      <c r="A58" s="8"/>
      <c r="B58" s="15" t="s">
        <v>55</v>
      </c>
      <c r="C58" s="60">
        <v>16010200</v>
      </c>
      <c r="D58" s="37">
        <v>0</v>
      </c>
      <c r="E58" s="37">
        <v>0</v>
      </c>
      <c r="F58" s="152">
        <v>0</v>
      </c>
      <c r="G58" s="45">
        <f t="shared" si="25"/>
        <v>0</v>
      </c>
      <c r="H58" s="36" t="e">
        <f t="shared" si="26"/>
        <v>#DIV/0!</v>
      </c>
      <c r="I58" s="52">
        <f t="shared" si="27"/>
        <v>0</v>
      </c>
      <c r="J58" s="52" t="e">
        <f t="shared" si="28"/>
        <v>#DIV/0!</v>
      </c>
      <c r="K58" s="52"/>
      <c r="L58" s="52">
        <f t="shared" si="31"/>
        <v>0</v>
      </c>
      <c r="M58" s="36">
        <f t="shared" si="6"/>
        <v>0</v>
      </c>
      <c r="N58" s="36">
        <f t="shared" si="7"/>
        <v>0</v>
      </c>
      <c r="O58" s="49">
        <f t="shared" si="29"/>
        <v>0</v>
      </c>
      <c r="P58" s="52" t="e">
        <f t="shared" si="30"/>
        <v>#DIV/0!</v>
      </c>
      <c r="Q58" s="52"/>
      <c r="R58" s="128"/>
    </row>
    <row r="59" spans="1:18" s="6" customFormat="1" ht="15.75" customHeight="1" hidden="1">
      <c r="A59" s="8"/>
      <c r="B59" s="15" t="s">
        <v>56</v>
      </c>
      <c r="C59" s="60">
        <v>16010300</v>
      </c>
      <c r="D59" s="37">
        <v>0</v>
      </c>
      <c r="E59" s="37">
        <v>0</v>
      </c>
      <c r="F59" s="152">
        <v>0</v>
      </c>
      <c r="G59" s="45">
        <f t="shared" si="25"/>
        <v>0</v>
      </c>
      <c r="H59" s="36" t="e">
        <f t="shared" si="26"/>
        <v>#DIV/0!</v>
      </c>
      <c r="I59" s="52">
        <f t="shared" si="27"/>
        <v>0</v>
      </c>
      <c r="J59" s="52" t="e">
        <f t="shared" si="28"/>
        <v>#DIV/0!</v>
      </c>
      <c r="K59" s="52"/>
      <c r="L59" s="52">
        <f t="shared" si="31"/>
        <v>0</v>
      </c>
      <c r="M59" s="36">
        <f t="shared" si="6"/>
        <v>0</v>
      </c>
      <c r="N59" s="36">
        <f t="shared" si="7"/>
        <v>0</v>
      </c>
      <c r="O59" s="49">
        <f t="shared" si="29"/>
        <v>0</v>
      </c>
      <c r="P59" s="52" t="e">
        <f t="shared" si="30"/>
        <v>#DIV/0!</v>
      </c>
      <c r="Q59" s="52"/>
      <c r="R59" s="128"/>
    </row>
    <row r="60" spans="1:18" s="6" customFormat="1" ht="15.75" customHeight="1" hidden="1">
      <c r="A60" s="8"/>
      <c r="B60" s="15" t="s">
        <v>57</v>
      </c>
      <c r="C60" s="60">
        <v>16010400</v>
      </c>
      <c r="D60" s="37">
        <v>0</v>
      </c>
      <c r="E60" s="37">
        <v>0</v>
      </c>
      <c r="F60" s="152">
        <v>0</v>
      </c>
      <c r="G60" s="45">
        <f t="shared" si="25"/>
        <v>0</v>
      </c>
      <c r="H60" s="36" t="e">
        <f t="shared" si="26"/>
        <v>#DIV/0!</v>
      </c>
      <c r="I60" s="52">
        <f t="shared" si="27"/>
        <v>0</v>
      </c>
      <c r="J60" s="52" t="e">
        <f t="shared" si="28"/>
        <v>#DIV/0!</v>
      </c>
      <c r="K60" s="52"/>
      <c r="L60" s="52">
        <f t="shared" si="31"/>
        <v>0</v>
      </c>
      <c r="M60" s="36">
        <f t="shared" si="6"/>
        <v>0</v>
      </c>
      <c r="N60" s="36">
        <f t="shared" si="7"/>
        <v>0</v>
      </c>
      <c r="O60" s="49">
        <f t="shared" si="29"/>
        <v>0</v>
      </c>
      <c r="P60" s="52" t="e">
        <f t="shared" si="30"/>
        <v>#DIV/0!</v>
      </c>
      <c r="Q60" s="52"/>
      <c r="R60" s="128"/>
    </row>
    <row r="61" spans="1:18" s="6" customFormat="1" ht="15.75" customHeight="1" hidden="1">
      <c r="A61" s="8"/>
      <c r="B61" s="15" t="s">
        <v>58</v>
      </c>
      <c r="C61" s="60">
        <v>16010500</v>
      </c>
      <c r="D61" s="37">
        <v>0</v>
      </c>
      <c r="E61" s="37">
        <v>0</v>
      </c>
      <c r="F61" s="152">
        <v>0</v>
      </c>
      <c r="G61" s="45">
        <f t="shared" si="25"/>
        <v>0</v>
      </c>
      <c r="H61" s="36" t="e">
        <f t="shared" si="26"/>
        <v>#DIV/0!</v>
      </c>
      <c r="I61" s="52">
        <f t="shared" si="27"/>
        <v>0</v>
      </c>
      <c r="J61" s="52" t="e">
        <f t="shared" si="28"/>
        <v>#DIV/0!</v>
      </c>
      <c r="K61" s="52"/>
      <c r="L61" s="52">
        <f t="shared" si="31"/>
        <v>0</v>
      </c>
      <c r="M61" s="36">
        <f t="shared" si="6"/>
        <v>0</v>
      </c>
      <c r="N61" s="36">
        <f t="shared" si="7"/>
        <v>0</v>
      </c>
      <c r="O61" s="49">
        <f t="shared" si="29"/>
        <v>0</v>
      </c>
      <c r="P61" s="52" t="e">
        <f t="shared" si="30"/>
        <v>#DIV/0!</v>
      </c>
      <c r="Q61" s="52"/>
      <c r="R61" s="128"/>
    </row>
    <row r="62" spans="1:18" s="6" customFormat="1" ht="15.75" customHeight="1" hidden="1">
      <c r="A62" s="8"/>
      <c r="B62" s="15" t="s">
        <v>59</v>
      </c>
      <c r="C62" s="60">
        <v>16010600</v>
      </c>
      <c r="D62" s="37">
        <v>0</v>
      </c>
      <c r="E62" s="37">
        <v>0</v>
      </c>
      <c r="F62" s="152">
        <v>0</v>
      </c>
      <c r="G62" s="45">
        <f t="shared" si="25"/>
        <v>0</v>
      </c>
      <c r="H62" s="36" t="e">
        <f t="shared" si="26"/>
        <v>#DIV/0!</v>
      </c>
      <c r="I62" s="52">
        <f t="shared" si="27"/>
        <v>0</v>
      </c>
      <c r="J62" s="52" t="e">
        <f t="shared" si="28"/>
        <v>#DIV/0!</v>
      </c>
      <c r="K62" s="52"/>
      <c r="L62" s="52">
        <f t="shared" si="31"/>
        <v>0</v>
      </c>
      <c r="M62" s="36">
        <f t="shared" si="6"/>
        <v>0</v>
      </c>
      <c r="N62" s="36">
        <f t="shared" si="7"/>
        <v>0</v>
      </c>
      <c r="O62" s="49">
        <f t="shared" si="29"/>
        <v>0</v>
      </c>
      <c r="P62" s="52" t="e">
        <f t="shared" si="30"/>
        <v>#DIV/0!</v>
      </c>
      <c r="Q62" s="52"/>
      <c r="R62" s="128"/>
    </row>
    <row r="63" spans="1:18" s="6" customFormat="1" ht="31.5" hidden="1">
      <c r="A63" s="8"/>
      <c r="B63" s="15" t="s">
        <v>60</v>
      </c>
      <c r="C63" s="60">
        <v>16011300</v>
      </c>
      <c r="D63" s="37">
        <v>0</v>
      </c>
      <c r="E63" s="37">
        <v>0</v>
      </c>
      <c r="F63" s="152">
        <v>0</v>
      </c>
      <c r="G63" s="45">
        <f t="shared" si="25"/>
        <v>0</v>
      </c>
      <c r="H63" s="36" t="e">
        <f t="shared" si="26"/>
        <v>#DIV/0!</v>
      </c>
      <c r="I63" s="52">
        <f t="shared" si="27"/>
        <v>0</v>
      </c>
      <c r="J63" s="52" t="e">
        <f t="shared" si="28"/>
        <v>#DIV/0!</v>
      </c>
      <c r="K63" s="52"/>
      <c r="L63" s="52">
        <f t="shared" si="31"/>
        <v>0</v>
      </c>
      <c r="M63" s="36">
        <f t="shared" si="6"/>
        <v>0</v>
      </c>
      <c r="N63" s="36">
        <f t="shared" si="7"/>
        <v>0</v>
      </c>
      <c r="O63" s="49">
        <f t="shared" si="29"/>
        <v>0</v>
      </c>
      <c r="P63" s="52" t="e">
        <f t="shared" si="30"/>
        <v>#DIV/0!</v>
      </c>
      <c r="Q63" s="52"/>
      <c r="R63" s="128"/>
    </row>
    <row r="64" spans="1:18" s="6" customFormat="1" ht="31.5" hidden="1">
      <c r="A64" s="8"/>
      <c r="B64" s="15" t="s">
        <v>61</v>
      </c>
      <c r="C64" s="60">
        <v>16011500</v>
      </c>
      <c r="D64" s="37">
        <v>0</v>
      </c>
      <c r="E64" s="37">
        <v>0</v>
      </c>
      <c r="F64" s="152">
        <v>0</v>
      </c>
      <c r="G64" s="45">
        <f t="shared" si="25"/>
        <v>0</v>
      </c>
      <c r="H64" s="36" t="e">
        <f t="shared" si="26"/>
        <v>#DIV/0!</v>
      </c>
      <c r="I64" s="52">
        <f t="shared" si="27"/>
        <v>0</v>
      </c>
      <c r="J64" s="52" t="e">
        <f t="shared" si="28"/>
        <v>#DIV/0!</v>
      </c>
      <c r="K64" s="52"/>
      <c r="L64" s="52">
        <f t="shared" si="31"/>
        <v>0</v>
      </c>
      <c r="M64" s="36">
        <f t="shared" si="6"/>
        <v>0</v>
      </c>
      <c r="N64" s="36">
        <f t="shared" si="7"/>
        <v>0</v>
      </c>
      <c r="O64" s="49">
        <f t="shared" si="29"/>
        <v>0</v>
      </c>
      <c r="P64" s="52" t="e">
        <f t="shared" si="30"/>
        <v>#DIV/0!</v>
      </c>
      <c r="Q64" s="52"/>
      <c r="R64" s="128"/>
    </row>
    <row r="65" spans="1:18" s="6" customFormat="1" ht="15.75" hidden="1">
      <c r="A65" s="8"/>
      <c r="B65" s="15" t="s">
        <v>62</v>
      </c>
      <c r="C65" s="60">
        <v>16011600</v>
      </c>
      <c r="D65" s="37">
        <v>0</v>
      </c>
      <c r="E65" s="37">
        <v>0</v>
      </c>
      <c r="F65" s="152">
        <v>0</v>
      </c>
      <c r="G65" s="45">
        <f t="shared" si="25"/>
        <v>0</v>
      </c>
      <c r="H65" s="36" t="e">
        <f t="shared" si="26"/>
        <v>#DIV/0!</v>
      </c>
      <c r="I65" s="52">
        <f t="shared" si="27"/>
        <v>0</v>
      </c>
      <c r="J65" s="52" t="e">
        <f t="shared" si="28"/>
        <v>#DIV/0!</v>
      </c>
      <c r="K65" s="52"/>
      <c r="L65" s="52">
        <f t="shared" si="31"/>
        <v>0</v>
      </c>
      <c r="M65" s="36">
        <f t="shared" si="6"/>
        <v>0</v>
      </c>
      <c r="N65" s="36">
        <f t="shared" si="7"/>
        <v>0</v>
      </c>
      <c r="O65" s="49">
        <f t="shared" si="29"/>
        <v>0</v>
      </c>
      <c r="P65" s="52" t="e">
        <f t="shared" si="30"/>
        <v>#DIV/0!</v>
      </c>
      <c r="Q65" s="52"/>
      <c r="R65" s="128"/>
    </row>
    <row r="66" spans="1:18" s="6" customFormat="1" ht="47.25" customHeight="1" hidden="1">
      <c r="A66" s="8"/>
      <c r="B66" s="15" t="s">
        <v>63</v>
      </c>
      <c r="C66" s="60">
        <v>16011700</v>
      </c>
      <c r="D66" s="37">
        <v>0</v>
      </c>
      <c r="E66" s="37">
        <v>0</v>
      </c>
      <c r="F66" s="152">
        <v>0</v>
      </c>
      <c r="G66" s="45">
        <f t="shared" si="25"/>
        <v>0</v>
      </c>
      <c r="H66" s="36" t="e">
        <f t="shared" si="26"/>
        <v>#DIV/0!</v>
      </c>
      <c r="I66" s="52">
        <f t="shared" si="27"/>
        <v>0</v>
      </c>
      <c r="J66" s="52" t="e">
        <f t="shared" si="28"/>
        <v>#DIV/0!</v>
      </c>
      <c r="K66" s="52"/>
      <c r="L66" s="52">
        <f t="shared" si="31"/>
        <v>0</v>
      </c>
      <c r="M66" s="36">
        <f t="shared" si="6"/>
        <v>0</v>
      </c>
      <c r="N66" s="36">
        <f t="shared" si="7"/>
        <v>0</v>
      </c>
      <c r="O66" s="49">
        <f t="shared" si="29"/>
        <v>0</v>
      </c>
      <c r="P66" s="52" t="e">
        <f t="shared" si="30"/>
        <v>#DIV/0!</v>
      </c>
      <c r="Q66" s="52"/>
      <c r="R66" s="128"/>
    </row>
    <row r="67" spans="1:18" s="6" customFormat="1" ht="15.75" hidden="1">
      <c r="A67" s="8"/>
      <c r="B67" s="12" t="s">
        <v>64</v>
      </c>
      <c r="C67" s="61">
        <v>16030000</v>
      </c>
      <c r="D67" s="37">
        <v>0</v>
      </c>
      <c r="E67" s="37">
        <v>0</v>
      </c>
      <c r="F67" s="152">
        <v>0</v>
      </c>
      <c r="G67" s="45">
        <f t="shared" si="25"/>
        <v>0</v>
      </c>
      <c r="H67" s="36" t="e">
        <f t="shared" si="26"/>
        <v>#DIV/0!</v>
      </c>
      <c r="I67" s="52">
        <f t="shared" si="27"/>
        <v>0</v>
      </c>
      <c r="J67" s="52" t="e">
        <f t="shared" si="28"/>
        <v>#DIV/0!</v>
      </c>
      <c r="K67" s="52"/>
      <c r="L67" s="52">
        <f t="shared" si="31"/>
        <v>0</v>
      </c>
      <c r="M67" s="36">
        <f t="shared" si="6"/>
        <v>0</v>
      </c>
      <c r="N67" s="36">
        <f t="shared" si="7"/>
        <v>0</v>
      </c>
      <c r="O67" s="49">
        <f t="shared" si="29"/>
        <v>0</v>
      </c>
      <c r="P67" s="52" t="e">
        <f t="shared" si="30"/>
        <v>#DIV/0!</v>
      </c>
      <c r="Q67" s="52"/>
      <c r="R67" s="128"/>
    </row>
    <row r="68" spans="1:18" s="6" customFormat="1" ht="15.75">
      <c r="A68" s="8"/>
      <c r="B68" s="15" t="s">
        <v>65</v>
      </c>
      <c r="C68" s="61">
        <v>19040000</v>
      </c>
      <c r="D68" s="37">
        <v>0</v>
      </c>
      <c r="E68" s="37">
        <v>0</v>
      </c>
      <c r="F68" s="152">
        <v>0</v>
      </c>
      <c r="G68" s="45">
        <f t="shared" si="25"/>
        <v>0</v>
      </c>
      <c r="H68" s="36"/>
      <c r="I68" s="52">
        <f t="shared" si="27"/>
        <v>0</v>
      </c>
      <c r="J68" s="52" t="e">
        <f t="shared" si="28"/>
        <v>#DIV/0!</v>
      </c>
      <c r="K68" s="52">
        <f>F68-0.15</f>
        <v>-0.15</v>
      </c>
      <c r="L68" s="52">
        <f>F68/0.15*100</f>
        <v>0</v>
      </c>
      <c r="M68" s="36">
        <f t="shared" si="6"/>
        <v>0</v>
      </c>
      <c r="N68" s="36">
        <f t="shared" si="7"/>
        <v>0</v>
      </c>
      <c r="O68" s="49">
        <f t="shared" si="29"/>
        <v>0</v>
      </c>
      <c r="P68" s="52"/>
      <c r="Q68" s="52">
        <f>N68-0.15</f>
        <v>-0.15</v>
      </c>
      <c r="R68" s="128">
        <f>N68/0.15</f>
        <v>0</v>
      </c>
    </row>
    <row r="69" spans="1:18" s="6" customFormat="1" ht="47.25" customHeight="1" hidden="1">
      <c r="A69" s="8"/>
      <c r="B69" s="14" t="s">
        <v>66</v>
      </c>
      <c r="C69" s="85">
        <v>16040100</v>
      </c>
      <c r="D69" s="16"/>
      <c r="E69" s="16"/>
      <c r="F69" s="154"/>
      <c r="G69" s="45">
        <f t="shared" si="25"/>
        <v>0</v>
      </c>
      <c r="H69" s="36" t="e">
        <f>F69/E69*100</f>
        <v>#DIV/0!</v>
      </c>
      <c r="I69" s="52">
        <f t="shared" si="27"/>
        <v>0</v>
      </c>
      <c r="J69" s="52" t="e">
        <f t="shared" si="28"/>
        <v>#DIV/0!</v>
      </c>
      <c r="K69" s="52"/>
      <c r="L69" s="52"/>
      <c r="M69" s="36" t="e">
        <f>E69-#REF!</f>
        <v>#REF!</v>
      </c>
      <c r="N69" s="36" t="e">
        <f>F69-#REF!</f>
        <v>#REF!</v>
      </c>
      <c r="O69" s="49" t="e">
        <f t="shared" si="29"/>
        <v>#REF!</v>
      </c>
      <c r="P69" s="52" t="e">
        <f>N69/M69*100</f>
        <v>#REF!</v>
      </c>
      <c r="Q69" s="52"/>
      <c r="R69" s="128"/>
    </row>
    <row r="70" spans="1:18" s="6" customFormat="1" ht="31.5" hidden="1">
      <c r="A70" s="8"/>
      <c r="B70" s="39" t="s">
        <v>67</v>
      </c>
      <c r="C70" s="84">
        <v>16050000</v>
      </c>
      <c r="D70" s="16">
        <v>0</v>
      </c>
      <c r="E70" s="16"/>
      <c r="F70" s="41">
        <v>0</v>
      </c>
      <c r="G70" s="45">
        <f t="shared" si="25"/>
        <v>0</v>
      </c>
      <c r="H70" s="36" t="e">
        <f>F70/E70*100</f>
        <v>#DIV/0!</v>
      </c>
      <c r="I70" s="52">
        <f t="shared" si="27"/>
        <v>0</v>
      </c>
      <c r="J70" s="52" t="e">
        <f t="shared" si="28"/>
        <v>#DIV/0!</v>
      </c>
      <c r="K70" s="52"/>
      <c r="L70" s="52"/>
      <c r="M70" s="36" t="e">
        <f>E70-#REF!</f>
        <v>#REF!</v>
      </c>
      <c r="N70" s="36" t="e">
        <f>F70-#REF!</f>
        <v>#REF!</v>
      </c>
      <c r="O70" s="49" t="e">
        <f t="shared" si="29"/>
        <v>#REF!</v>
      </c>
      <c r="P70" s="52" t="e">
        <f>N70/M70*100</f>
        <v>#REF!</v>
      </c>
      <c r="Q70" s="52"/>
      <c r="R70" s="128"/>
    </row>
    <row r="71" spans="1:18" s="6" customFormat="1" ht="31.5" hidden="1">
      <c r="A71" s="8"/>
      <c r="B71" s="15" t="s">
        <v>68</v>
      </c>
      <c r="C71" s="85">
        <v>16050100</v>
      </c>
      <c r="D71" s="16">
        <v>4590</v>
      </c>
      <c r="E71" s="16"/>
      <c r="F71" s="154"/>
      <c r="G71" s="45">
        <f t="shared" si="25"/>
        <v>0</v>
      </c>
      <c r="H71" s="36" t="e">
        <f>F71/E71*100</f>
        <v>#DIV/0!</v>
      </c>
      <c r="I71" s="52">
        <f t="shared" si="27"/>
        <v>-4590</v>
      </c>
      <c r="J71" s="52">
        <f t="shared" si="28"/>
        <v>0</v>
      </c>
      <c r="K71" s="52"/>
      <c r="L71" s="52"/>
      <c r="M71" s="36" t="e">
        <f>E71-#REF!</f>
        <v>#REF!</v>
      </c>
      <c r="N71" s="36" t="e">
        <f>F71-#REF!</f>
        <v>#REF!</v>
      </c>
      <c r="O71" s="49" t="e">
        <f t="shared" si="29"/>
        <v>#REF!</v>
      </c>
      <c r="P71" s="52" t="e">
        <f>F71/M71*100</f>
        <v>#REF!</v>
      </c>
      <c r="Q71" s="52"/>
      <c r="R71" s="128"/>
    </row>
    <row r="72" spans="1:18" s="6" customFormat="1" ht="31.5" hidden="1">
      <c r="A72" s="8"/>
      <c r="B72" s="15" t="s">
        <v>69</v>
      </c>
      <c r="C72" s="85">
        <v>16050200</v>
      </c>
      <c r="D72" s="16">
        <v>4410</v>
      </c>
      <c r="E72" s="16"/>
      <c r="F72" s="154"/>
      <c r="G72" s="45">
        <f t="shared" si="25"/>
        <v>0</v>
      </c>
      <c r="H72" s="36" t="e">
        <f>F72/E72*100</f>
        <v>#DIV/0!</v>
      </c>
      <c r="I72" s="52">
        <f t="shared" si="27"/>
        <v>-4410</v>
      </c>
      <c r="J72" s="52">
        <f t="shared" si="28"/>
        <v>0</v>
      </c>
      <c r="K72" s="52"/>
      <c r="L72" s="52"/>
      <c r="M72" s="36" t="e">
        <f>E72-#REF!</f>
        <v>#REF!</v>
      </c>
      <c r="N72" s="36" t="e">
        <f>F72-#REF!</f>
        <v>#REF!</v>
      </c>
      <c r="O72" s="49" t="e">
        <f t="shared" si="29"/>
        <v>#REF!</v>
      </c>
      <c r="P72" s="52" t="e">
        <f>F72/M72*100</f>
        <v>#REF!</v>
      </c>
      <c r="Q72" s="52"/>
      <c r="R72" s="128"/>
    </row>
    <row r="73" spans="1:18" s="6" customFormat="1" ht="31.5" hidden="1">
      <c r="A73" s="7"/>
      <c r="B73" s="15" t="s">
        <v>67</v>
      </c>
      <c r="C73" s="85">
        <v>16050000</v>
      </c>
      <c r="D73" s="16"/>
      <c r="E73" s="16"/>
      <c r="F73" s="154">
        <v>0</v>
      </c>
      <c r="G73" s="45"/>
      <c r="H73" s="36"/>
      <c r="I73" s="52"/>
      <c r="J73" s="52"/>
      <c r="K73" s="52"/>
      <c r="L73" s="52"/>
      <c r="M73" s="36" t="e">
        <f>E73-#REF!</f>
        <v>#REF!</v>
      </c>
      <c r="N73" s="36" t="e">
        <f>F73-#REF!</f>
        <v>#REF!</v>
      </c>
      <c r="O73" s="49"/>
      <c r="P73" s="52"/>
      <c r="Q73" s="52"/>
      <c r="R73" s="128"/>
    </row>
    <row r="74" spans="1:18" s="6" customFormat="1" ht="18.75">
      <c r="A74" s="7"/>
      <c r="B74" s="19" t="s">
        <v>70</v>
      </c>
      <c r="C74" s="95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41">
        <f>F77+F86+F88+F89+F94+F95+F96+F97+F99+F103+F87</f>
        <v>66.82000000000001</v>
      </c>
      <c r="G74" s="46">
        <f aca="true" t="shared" si="32" ref="G74:G92">F74-E74</f>
        <v>-1024.18</v>
      </c>
      <c r="H74" s="47">
        <f aca="true" t="shared" si="33" ref="H74:H86">F74/E74*100</f>
        <v>6.124656278643447</v>
      </c>
      <c r="I74" s="32">
        <f aca="true" t="shared" si="34" ref="I74:I92">F74-D74</f>
        <v>-6565.18</v>
      </c>
      <c r="J74" s="32">
        <f aca="true" t="shared" si="35" ref="J74:J92">F74/D74*100</f>
        <v>1.0075392038600723</v>
      </c>
      <c r="K74" s="32">
        <f>F74-1017.6</f>
        <v>-950.78</v>
      </c>
      <c r="L74" s="32">
        <f>F74/1017.6*100</f>
        <v>6.566430817610064</v>
      </c>
      <c r="M74" s="18">
        <f>M77+M86+M88+M89+M94+M95+M96+M97+M99+M87</f>
        <v>1091</v>
      </c>
      <c r="N74" s="18">
        <f>N77+N86+N88+N89+N94+N95+N96+N97+N99+N32+N103+N87</f>
        <v>66.82000000000001</v>
      </c>
      <c r="O74" s="51">
        <f aca="true" t="shared" si="36" ref="O74:O92">N74-M74</f>
        <v>-1024.18</v>
      </c>
      <c r="P74" s="32">
        <f>N74/M74*100</f>
        <v>6.124656278643447</v>
      </c>
      <c r="Q74" s="32">
        <f>N74-1017.63</f>
        <v>-950.81</v>
      </c>
      <c r="R74" s="129">
        <f>N74/1017.63</f>
        <v>0.06566237237502826</v>
      </c>
    </row>
    <row r="75" spans="1:18" s="6" customFormat="1" ht="31.5" hidden="1">
      <c r="A75" s="8"/>
      <c r="B75" s="11" t="s">
        <v>71</v>
      </c>
      <c r="C75" s="83">
        <v>21000000</v>
      </c>
      <c r="D75" s="16" t="e">
        <f>D77+#REF!</f>
        <v>#REF!</v>
      </c>
      <c r="E75" s="16"/>
      <c r="F75" s="155" t="e">
        <f>SUM(F76:F77)+SUM(#REF!)</f>
        <v>#REF!</v>
      </c>
      <c r="G75" s="45" t="e">
        <f t="shared" si="32"/>
        <v>#REF!</v>
      </c>
      <c r="H75" s="36" t="e">
        <f t="shared" si="33"/>
        <v>#REF!</v>
      </c>
      <c r="I75" s="52" t="e">
        <f t="shared" si="34"/>
        <v>#REF!</v>
      </c>
      <c r="J75" s="52" t="e">
        <f t="shared" si="35"/>
        <v>#REF!</v>
      </c>
      <c r="K75" s="52"/>
      <c r="L75" s="52"/>
      <c r="M75" s="53" t="e">
        <f>SUM(M76:M77)+SUM(#REF!)</f>
        <v>#REF!</v>
      </c>
      <c r="N75" s="53" t="e">
        <f>SUM(N76:N77)+SUM(#REF!)</f>
        <v>#REF!</v>
      </c>
      <c r="O75" s="49" t="e">
        <f t="shared" si="36"/>
        <v>#REF!</v>
      </c>
      <c r="P75" s="52" t="e">
        <f>F75/M75*100</f>
        <v>#REF!</v>
      </c>
      <c r="Q75" s="52"/>
      <c r="R75" s="128"/>
    </row>
    <row r="76" spans="1:18" s="6" customFormat="1" ht="15.75" hidden="1">
      <c r="A76" s="8"/>
      <c r="B76" s="12" t="s">
        <v>72</v>
      </c>
      <c r="C76" s="84">
        <v>21030000</v>
      </c>
      <c r="D76" s="16" t="e">
        <f>#REF!*0.001</f>
        <v>#REF!</v>
      </c>
      <c r="E76" s="16"/>
      <c r="F76" s="156"/>
      <c r="G76" s="45">
        <f t="shared" si="32"/>
        <v>0</v>
      </c>
      <c r="H76" s="36" t="e">
        <f t="shared" si="33"/>
        <v>#DIV/0!</v>
      </c>
      <c r="I76" s="52" t="e">
        <f t="shared" si="34"/>
        <v>#REF!</v>
      </c>
      <c r="J76" s="52" t="e">
        <f t="shared" si="35"/>
        <v>#REF!</v>
      </c>
      <c r="K76" s="52"/>
      <c r="L76" s="52"/>
      <c r="M76" s="54"/>
      <c r="N76" s="54"/>
      <c r="O76" s="49">
        <f t="shared" si="36"/>
        <v>0</v>
      </c>
      <c r="P76" s="52" t="e">
        <f>F76/M76*100</f>
        <v>#DIV/0!</v>
      </c>
      <c r="Q76" s="52"/>
      <c r="R76" s="128"/>
    </row>
    <row r="77" spans="1:18" s="6" customFormat="1" ht="47.25">
      <c r="A77" s="8"/>
      <c r="B77" s="62" t="s">
        <v>106</v>
      </c>
      <c r="C77" s="61">
        <v>21010301</v>
      </c>
      <c r="D77" s="37">
        <v>60</v>
      </c>
      <c r="E77" s="37">
        <v>0</v>
      </c>
      <c r="F77" s="152">
        <v>0</v>
      </c>
      <c r="G77" s="45">
        <f t="shared" si="32"/>
        <v>0</v>
      </c>
      <c r="H77" s="36" t="e">
        <f t="shared" si="33"/>
        <v>#DIV/0!</v>
      </c>
      <c r="I77" s="52">
        <f t="shared" si="34"/>
        <v>-60</v>
      </c>
      <c r="J77" s="52">
        <f t="shared" si="35"/>
        <v>0</v>
      </c>
      <c r="K77" s="52">
        <f>F77-0</f>
        <v>0</v>
      </c>
      <c r="L77" s="52" t="e">
        <f>F77/0*100</f>
        <v>#DIV/0!</v>
      </c>
      <c r="M77" s="36">
        <f>E77</f>
        <v>0</v>
      </c>
      <c r="N77" s="36">
        <f>F77</f>
        <v>0</v>
      </c>
      <c r="O77" s="49">
        <f t="shared" si="36"/>
        <v>0</v>
      </c>
      <c r="P77" s="52" t="e">
        <f aca="true" t="shared" si="37" ref="P77:P86">N77/M77*100</f>
        <v>#DIV/0!</v>
      </c>
      <c r="Q77" s="52">
        <f>N77-0</f>
        <v>0</v>
      </c>
      <c r="R77" s="128" t="e">
        <f>N77/0</f>
        <v>#DIV/0!</v>
      </c>
    </row>
    <row r="78" spans="1:18" s="6" customFormat="1" ht="31.5" hidden="1">
      <c r="A78" s="8"/>
      <c r="B78" s="11" t="s">
        <v>74</v>
      </c>
      <c r="C78" s="59" t="s">
        <v>75</v>
      </c>
      <c r="D78" s="37">
        <v>0</v>
      </c>
      <c r="E78" s="37">
        <v>0</v>
      </c>
      <c r="F78" s="152">
        <v>0</v>
      </c>
      <c r="G78" s="45">
        <f t="shared" si="32"/>
        <v>0</v>
      </c>
      <c r="H78" s="36" t="e">
        <f t="shared" si="33"/>
        <v>#DIV/0!</v>
      </c>
      <c r="I78" s="52">
        <f t="shared" si="34"/>
        <v>0</v>
      </c>
      <c r="J78" s="52" t="e">
        <f t="shared" si="35"/>
        <v>#DIV/0!</v>
      </c>
      <c r="K78" s="52"/>
      <c r="L78" s="52">
        <f aca="true" t="shared" si="38" ref="L78:L101">F78</f>
        <v>0</v>
      </c>
      <c r="M78" s="36">
        <f aca="true" t="shared" si="39" ref="M78:M105">E78</f>
        <v>0</v>
      </c>
      <c r="N78" s="36">
        <f aca="true" t="shared" si="40" ref="N78:N105">F78</f>
        <v>0</v>
      </c>
      <c r="O78" s="49">
        <f t="shared" si="36"/>
        <v>0</v>
      </c>
      <c r="P78" s="52" t="e">
        <f t="shared" si="37"/>
        <v>#DIV/0!</v>
      </c>
      <c r="Q78" s="52"/>
      <c r="R78" s="128"/>
    </row>
    <row r="79" spans="1:18" s="6" customFormat="1" ht="31.5" hidden="1">
      <c r="A79" s="8"/>
      <c r="B79" s="12" t="s">
        <v>76</v>
      </c>
      <c r="C79" s="61" t="s">
        <v>77</v>
      </c>
      <c r="D79" s="37">
        <v>0</v>
      </c>
      <c r="E79" s="37">
        <v>0</v>
      </c>
      <c r="F79" s="152">
        <v>0</v>
      </c>
      <c r="G79" s="45">
        <f t="shared" si="32"/>
        <v>0</v>
      </c>
      <c r="H79" s="36" t="e">
        <f t="shared" si="33"/>
        <v>#DIV/0!</v>
      </c>
      <c r="I79" s="52">
        <f t="shared" si="34"/>
        <v>0</v>
      </c>
      <c r="J79" s="52" t="e">
        <f t="shared" si="35"/>
        <v>#DIV/0!</v>
      </c>
      <c r="K79" s="52"/>
      <c r="L79" s="52">
        <f t="shared" si="38"/>
        <v>0</v>
      </c>
      <c r="M79" s="36">
        <f t="shared" si="39"/>
        <v>0</v>
      </c>
      <c r="N79" s="36">
        <f t="shared" si="40"/>
        <v>0</v>
      </c>
      <c r="O79" s="49">
        <f t="shared" si="36"/>
        <v>0</v>
      </c>
      <c r="P79" s="52" t="e">
        <f t="shared" si="37"/>
        <v>#DIV/0!</v>
      </c>
      <c r="Q79" s="52"/>
      <c r="R79" s="128"/>
    </row>
    <row r="80" spans="1:18" s="6" customFormat="1" ht="31.5" hidden="1">
      <c r="A80" s="8"/>
      <c r="B80" s="14" t="s">
        <v>79</v>
      </c>
      <c r="C80" s="60">
        <v>22080400</v>
      </c>
      <c r="D80" s="37">
        <v>0</v>
      </c>
      <c r="E80" s="37">
        <v>0</v>
      </c>
      <c r="F80" s="152">
        <v>0</v>
      </c>
      <c r="G80" s="45">
        <f t="shared" si="32"/>
        <v>0</v>
      </c>
      <c r="H80" s="36" t="e">
        <f t="shared" si="33"/>
        <v>#DIV/0!</v>
      </c>
      <c r="I80" s="52">
        <f t="shared" si="34"/>
        <v>0</v>
      </c>
      <c r="J80" s="52" t="e">
        <f t="shared" si="35"/>
        <v>#DIV/0!</v>
      </c>
      <c r="K80" s="52"/>
      <c r="L80" s="52">
        <f t="shared" si="38"/>
        <v>0</v>
      </c>
      <c r="M80" s="36">
        <f t="shared" si="39"/>
        <v>0</v>
      </c>
      <c r="N80" s="36">
        <f t="shared" si="40"/>
        <v>0</v>
      </c>
      <c r="O80" s="49">
        <f t="shared" si="36"/>
        <v>0</v>
      </c>
      <c r="P80" s="52" t="e">
        <f t="shared" si="37"/>
        <v>#DIV/0!</v>
      </c>
      <c r="Q80" s="52"/>
      <c r="R80" s="128"/>
    </row>
    <row r="81" spans="1:18" s="6" customFormat="1" ht="15.75" hidden="1">
      <c r="A81" s="8"/>
      <c r="B81" s="12" t="s">
        <v>80</v>
      </c>
      <c r="C81" s="61" t="s">
        <v>81</v>
      </c>
      <c r="D81" s="37">
        <v>0</v>
      </c>
      <c r="E81" s="37">
        <v>0</v>
      </c>
      <c r="F81" s="152">
        <v>0</v>
      </c>
      <c r="G81" s="45">
        <f t="shared" si="32"/>
        <v>0</v>
      </c>
      <c r="H81" s="36" t="e">
        <f t="shared" si="33"/>
        <v>#DIV/0!</v>
      </c>
      <c r="I81" s="52">
        <f t="shared" si="34"/>
        <v>0</v>
      </c>
      <c r="J81" s="52" t="e">
        <f t="shared" si="35"/>
        <v>#DIV/0!</v>
      </c>
      <c r="K81" s="52"/>
      <c r="L81" s="52">
        <f t="shared" si="38"/>
        <v>0</v>
      </c>
      <c r="M81" s="36">
        <f t="shared" si="39"/>
        <v>0</v>
      </c>
      <c r="N81" s="36">
        <f t="shared" si="40"/>
        <v>0</v>
      </c>
      <c r="O81" s="49">
        <f t="shared" si="36"/>
        <v>0</v>
      </c>
      <c r="P81" s="52" t="e">
        <f t="shared" si="37"/>
        <v>#DIV/0!</v>
      </c>
      <c r="Q81" s="52"/>
      <c r="R81" s="128"/>
    </row>
    <row r="82" spans="1:18" s="6" customFormat="1" ht="47.25" hidden="1">
      <c r="A82" s="8"/>
      <c r="B82" s="14" t="s">
        <v>82</v>
      </c>
      <c r="C82" s="60" t="s">
        <v>83</v>
      </c>
      <c r="D82" s="37">
        <v>0</v>
      </c>
      <c r="E82" s="37">
        <v>0</v>
      </c>
      <c r="F82" s="152">
        <v>0</v>
      </c>
      <c r="G82" s="45">
        <f t="shared" si="32"/>
        <v>0</v>
      </c>
      <c r="H82" s="36" t="e">
        <f t="shared" si="33"/>
        <v>#DIV/0!</v>
      </c>
      <c r="I82" s="52">
        <f t="shared" si="34"/>
        <v>0</v>
      </c>
      <c r="J82" s="52" t="e">
        <f t="shared" si="35"/>
        <v>#DIV/0!</v>
      </c>
      <c r="K82" s="52"/>
      <c r="L82" s="52">
        <f t="shared" si="38"/>
        <v>0</v>
      </c>
      <c r="M82" s="36">
        <f t="shared" si="39"/>
        <v>0</v>
      </c>
      <c r="N82" s="36">
        <f t="shared" si="40"/>
        <v>0</v>
      </c>
      <c r="O82" s="49">
        <f t="shared" si="36"/>
        <v>0</v>
      </c>
      <c r="P82" s="52" t="e">
        <f t="shared" si="37"/>
        <v>#DIV/0!</v>
      </c>
      <c r="Q82" s="52"/>
      <c r="R82" s="128"/>
    </row>
    <row r="83" spans="1:18" s="6" customFormat="1" ht="47.25" hidden="1">
      <c r="A83" s="8"/>
      <c r="B83" s="14" t="s">
        <v>84</v>
      </c>
      <c r="C83" s="60" t="s">
        <v>85</v>
      </c>
      <c r="D83" s="37">
        <v>0</v>
      </c>
      <c r="E83" s="37">
        <v>0</v>
      </c>
      <c r="F83" s="152">
        <v>0</v>
      </c>
      <c r="G83" s="45">
        <f t="shared" si="32"/>
        <v>0</v>
      </c>
      <c r="H83" s="36" t="e">
        <f t="shared" si="33"/>
        <v>#DIV/0!</v>
      </c>
      <c r="I83" s="52">
        <f t="shared" si="34"/>
        <v>0</v>
      </c>
      <c r="J83" s="52" t="e">
        <f t="shared" si="35"/>
        <v>#DIV/0!</v>
      </c>
      <c r="K83" s="52"/>
      <c r="L83" s="52">
        <f t="shared" si="38"/>
        <v>0</v>
      </c>
      <c r="M83" s="36">
        <f t="shared" si="39"/>
        <v>0</v>
      </c>
      <c r="N83" s="36">
        <f t="shared" si="40"/>
        <v>0</v>
      </c>
      <c r="O83" s="49">
        <f t="shared" si="36"/>
        <v>0</v>
      </c>
      <c r="P83" s="52" t="e">
        <f t="shared" si="37"/>
        <v>#DIV/0!</v>
      </c>
      <c r="Q83" s="52"/>
      <c r="R83" s="128"/>
    </row>
    <row r="84" spans="1:18" s="6" customFormat="1" ht="31.5" hidden="1">
      <c r="A84" s="8"/>
      <c r="B84" s="14" t="s">
        <v>86</v>
      </c>
      <c r="C84" s="60" t="s">
        <v>87</v>
      </c>
      <c r="D84" s="37">
        <v>0</v>
      </c>
      <c r="E84" s="37">
        <v>0</v>
      </c>
      <c r="F84" s="152">
        <v>0</v>
      </c>
      <c r="G84" s="45">
        <f t="shared" si="32"/>
        <v>0</v>
      </c>
      <c r="H84" s="36" t="e">
        <f t="shared" si="33"/>
        <v>#DIV/0!</v>
      </c>
      <c r="I84" s="52">
        <f t="shared" si="34"/>
        <v>0</v>
      </c>
      <c r="J84" s="52" t="e">
        <f t="shared" si="35"/>
        <v>#DIV/0!</v>
      </c>
      <c r="K84" s="52"/>
      <c r="L84" s="52">
        <f t="shared" si="38"/>
        <v>0</v>
      </c>
      <c r="M84" s="36">
        <f t="shared" si="39"/>
        <v>0</v>
      </c>
      <c r="N84" s="36">
        <f t="shared" si="40"/>
        <v>0</v>
      </c>
      <c r="O84" s="49">
        <f t="shared" si="36"/>
        <v>0</v>
      </c>
      <c r="P84" s="52" t="e">
        <f t="shared" si="37"/>
        <v>#DIV/0!</v>
      </c>
      <c r="Q84" s="52"/>
      <c r="R84" s="128"/>
    </row>
    <row r="85" spans="1:18" s="6" customFormat="1" ht="15.75" hidden="1">
      <c r="A85" s="8"/>
      <c r="B85" s="11" t="s">
        <v>88</v>
      </c>
      <c r="C85" s="59" t="s">
        <v>89</v>
      </c>
      <c r="D85" s="37">
        <v>0</v>
      </c>
      <c r="E85" s="37">
        <v>0</v>
      </c>
      <c r="F85" s="152">
        <v>0</v>
      </c>
      <c r="G85" s="45">
        <f t="shared" si="32"/>
        <v>0</v>
      </c>
      <c r="H85" s="36" t="e">
        <f t="shared" si="33"/>
        <v>#DIV/0!</v>
      </c>
      <c r="I85" s="52">
        <f t="shared" si="34"/>
        <v>0</v>
      </c>
      <c r="J85" s="52" t="e">
        <f t="shared" si="35"/>
        <v>#DIV/0!</v>
      </c>
      <c r="K85" s="52"/>
      <c r="L85" s="52">
        <f t="shared" si="38"/>
        <v>0</v>
      </c>
      <c r="M85" s="36">
        <f t="shared" si="39"/>
        <v>0</v>
      </c>
      <c r="N85" s="36">
        <f t="shared" si="40"/>
        <v>0</v>
      </c>
      <c r="O85" s="49">
        <f t="shared" si="36"/>
        <v>0</v>
      </c>
      <c r="P85" s="52" t="e">
        <f t="shared" si="37"/>
        <v>#DIV/0!</v>
      </c>
      <c r="Q85" s="52"/>
      <c r="R85" s="128"/>
    </row>
    <row r="86" spans="1:18" s="6" customFormat="1" ht="31.5">
      <c r="A86" s="8"/>
      <c r="B86" s="70" t="s">
        <v>133</v>
      </c>
      <c r="C86" s="59">
        <v>21050000</v>
      </c>
      <c r="D86" s="37">
        <v>0</v>
      </c>
      <c r="E86" s="37">
        <v>0</v>
      </c>
      <c r="F86" s="152">
        <v>0</v>
      </c>
      <c r="G86" s="45">
        <f t="shared" si="32"/>
        <v>0</v>
      </c>
      <c r="H86" s="36" t="e">
        <f t="shared" si="33"/>
        <v>#DIV/0!</v>
      </c>
      <c r="I86" s="52">
        <f t="shared" si="34"/>
        <v>0</v>
      </c>
      <c r="J86" s="52" t="e">
        <f t="shared" si="35"/>
        <v>#DIV/0!</v>
      </c>
      <c r="K86" s="52">
        <f>F86-0</f>
        <v>0</v>
      </c>
      <c r="L86" s="52" t="e">
        <f>F86/0*100</f>
        <v>#DIV/0!</v>
      </c>
      <c r="M86" s="36">
        <f t="shared" si="39"/>
        <v>0</v>
      </c>
      <c r="N86" s="36">
        <f t="shared" si="40"/>
        <v>0</v>
      </c>
      <c r="O86" s="49">
        <f t="shared" si="36"/>
        <v>0</v>
      </c>
      <c r="P86" s="52" t="e">
        <f t="shared" si="37"/>
        <v>#DIV/0!</v>
      </c>
      <c r="Q86" s="52">
        <f>N86-0</f>
        <v>0</v>
      </c>
      <c r="R86" s="128" t="e">
        <f>N86/0</f>
        <v>#DIV/0!</v>
      </c>
    </row>
    <row r="87" spans="1:18" s="6" customFormat="1" ht="15.75">
      <c r="A87" s="8"/>
      <c r="B87" s="70" t="s">
        <v>169</v>
      </c>
      <c r="C87" s="59">
        <v>21080500</v>
      </c>
      <c r="D87" s="37"/>
      <c r="E87" s="37"/>
      <c r="F87" s="152">
        <v>0</v>
      </c>
      <c r="G87" s="45"/>
      <c r="H87" s="36"/>
      <c r="I87" s="52"/>
      <c r="J87" s="52"/>
      <c r="K87" s="52"/>
      <c r="L87" s="52"/>
      <c r="M87" s="36">
        <f t="shared" si="39"/>
        <v>0</v>
      </c>
      <c r="N87" s="36">
        <f t="shared" si="40"/>
        <v>0</v>
      </c>
      <c r="O87" s="49"/>
      <c r="P87" s="52"/>
      <c r="Q87" s="52">
        <f>N87-4.23</f>
        <v>-4.23</v>
      </c>
      <c r="R87" s="128">
        <f>N87/4.23</f>
        <v>0</v>
      </c>
    </row>
    <row r="88" spans="1:18" s="6" customFormat="1" ht="31.5">
      <c r="A88" s="8"/>
      <c r="B88" s="31" t="s">
        <v>123</v>
      </c>
      <c r="C88" s="96">
        <v>21080900</v>
      </c>
      <c r="D88" s="37">
        <v>32</v>
      </c>
      <c r="E88" s="37">
        <v>1</v>
      </c>
      <c r="F88" s="152">
        <v>0</v>
      </c>
      <c r="G88" s="45">
        <f t="shared" si="32"/>
        <v>-1</v>
      </c>
      <c r="H88" s="36">
        <f>F88/E88*100</f>
        <v>0</v>
      </c>
      <c r="I88" s="52">
        <f t="shared" si="34"/>
        <v>-32</v>
      </c>
      <c r="J88" s="52">
        <f t="shared" si="35"/>
        <v>0</v>
      </c>
      <c r="K88" s="52">
        <f>F88-0</f>
        <v>0</v>
      </c>
      <c r="L88" s="52" t="e">
        <f>F88/0*100</f>
        <v>#DIV/0!</v>
      </c>
      <c r="M88" s="36">
        <f t="shared" si="39"/>
        <v>1</v>
      </c>
      <c r="N88" s="36">
        <f t="shared" si="40"/>
        <v>0</v>
      </c>
      <c r="O88" s="49">
        <f t="shared" si="36"/>
        <v>-1</v>
      </c>
      <c r="P88" s="52">
        <f>N88/M88*100</f>
        <v>0</v>
      </c>
      <c r="Q88" s="52">
        <f>N88-0</f>
        <v>0</v>
      </c>
      <c r="R88" s="128"/>
    </row>
    <row r="89" spans="1:18" s="6" customFormat="1" ht="15.75">
      <c r="A89" s="8"/>
      <c r="B89" s="15" t="s">
        <v>90</v>
      </c>
      <c r="C89" s="97">
        <v>21081100</v>
      </c>
      <c r="D89" s="37">
        <v>60</v>
      </c>
      <c r="E89" s="37">
        <v>10</v>
      </c>
      <c r="F89" s="152">
        <v>1.19</v>
      </c>
      <c r="G89" s="45">
        <f t="shared" si="32"/>
        <v>-8.81</v>
      </c>
      <c r="H89" s="36">
        <f>F89/E89*100</f>
        <v>11.899999999999999</v>
      </c>
      <c r="I89" s="52">
        <f t="shared" si="34"/>
        <v>-58.81</v>
      </c>
      <c r="J89" s="52">
        <f t="shared" si="35"/>
        <v>1.9833333333333332</v>
      </c>
      <c r="K89" s="52">
        <f>F89-9.02</f>
        <v>-7.83</v>
      </c>
      <c r="L89" s="52">
        <f>F89/9.02*100</f>
        <v>13.19290465631929</v>
      </c>
      <c r="M89" s="36">
        <f t="shared" si="39"/>
        <v>10</v>
      </c>
      <c r="N89" s="36">
        <f t="shared" si="40"/>
        <v>1.19</v>
      </c>
      <c r="O89" s="49">
        <f t="shared" si="36"/>
        <v>-8.81</v>
      </c>
      <c r="P89" s="52">
        <f>N89/M89*100</f>
        <v>11.899999999999999</v>
      </c>
      <c r="Q89" s="52">
        <f>N89-9.02</f>
        <v>-7.83</v>
      </c>
      <c r="R89" s="128">
        <f>N89/9.02</f>
        <v>0.1319290465631929</v>
      </c>
    </row>
    <row r="90" spans="1:18" s="6" customFormat="1" ht="78.75" hidden="1">
      <c r="A90" s="8"/>
      <c r="B90" s="14" t="s">
        <v>91</v>
      </c>
      <c r="C90" s="61" t="s">
        <v>92</v>
      </c>
      <c r="D90" s="37">
        <v>0</v>
      </c>
      <c r="E90" s="37">
        <v>0</v>
      </c>
      <c r="F90" s="152">
        <v>0</v>
      </c>
      <c r="G90" s="45">
        <f t="shared" si="32"/>
        <v>0</v>
      </c>
      <c r="H90" s="36" t="e">
        <f>F90/E90*100</f>
        <v>#DIV/0!</v>
      </c>
      <c r="I90" s="52">
        <f t="shared" si="34"/>
        <v>0</v>
      </c>
      <c r="J90" s="52" t="e">
        <f t="shared" si="35"/>
        <v>#DIV/0!</v>
      </c>
      <c r="K90" s="52"/>
      <c r="L90" s="52">
        <f t="shared" si="38"/>
        <v>0</v>
      </c>
      <c r="M90" s="36">
        <f t="shared" si="39"/>
        <v>0</v>
      </c>
      <c r="N90" s="36">
        <f t="shared" si="40"/>
        <v>0</v>
      </c>
      <c r="O90" s="49">
        <f t="shared" si="36"/>
        <v>0</v>
      </c>
      <c r="P90" s="52" t="e">
        <f>N90/M90*100</f>
        <v>#DIV/0!</v>
      </c>
      <c r="Q90" s="52"/>
      <c r="R90" s="128"/>
    </row>
    <row r="91" spans="1:18" s="6" customFormat="1" ht="15.75" hidden="1">
      <c r="A91" s="8"/>
      <c r="B91" s="14" t="s">
        <v>90</v>
      </c>
      <c r="C91" s="61" t="s">
        <v>93</v>
      </c>
      <c r="D91" s="37">
        <v>0</v>
      </c>
      <c r="E91" s="37">
        <v>0</v>
      </c>
      <c r="F91" s="152">
        <v>0</v>
      </c>
      <c r="G91" s="45">
        <f t="shared" si="32"/>
        <v>0</v>
      </c>
      <c r="H91" s="36" t="e">
        <f>F91/E91*100</f>
        <v>#DIV/0!</v>
      </c>
      <c r="I91" s="52">
        <f t="shared" si="34"/>
        <v>0</v>
      </c>
      <c r="J91" s="52" t="e">
        <f t="shared" si="35"/>
        <v>#DIV/0!</v>
      </c>
      <c r="K91" s="52"/>
      <c r="L91" s="52">
        <f t="shared" si="38"/>
        <v>0</v>
      </c>
      <c r="M91" s="36">
        <f t="shared" si="39"/>
        <v>0</v>
      </c>
      <c r="N91" s="36">
        <f t="shared" si="40"/>
        <v>0</v>
      </c>
      <c r="O91" s="49">
        <f t="shared" si="36"/>
        <v>0</v>
      </c>
      <c r="P91" s="52" t="e">
        <f>N91/M91*100</f>
        <v>#DIV/0!</v>
      </c>
      <c r="Q91" s="52"/>
      <c r="R91" s="128"/>
    </row>
    <row r="92" spans="1:18" s="6" customFormat="1" ht="15.75" hidden="1">
      <c r="A92" s="8"/>
      <c r="B92" s="11" t="s">
        <v>94</v>
      </c>
      <c r="C92" s="59" t="s">
        <v>95</v>
      </c>
      <c r="D92" s="37">
        <v>0</v>
      </c>
      <c r="E92" s="37">
        <v>0</v>
      </c>
      <c r="F92" s="152">
        <v>0</v>
      </c>
      <c r="G92" s="45">
        <f t="shared" si="32"/>
        <v>0</v>
      </c>
      <c r="H92" s="36" t="e">
        <f>F92/E92*100</f>
        <v>#DIV/0!</v>
      </c>
      <c r="I92" s="52">
        <f t="shared" si="34"/>
        <v>0</v>
      </c>
      <c r="J92" s="52" t="e">
        <f t="shared" si="35"/>
        <v>#DIV/0!</v>
      </c>
      <c r="K92" s="52"/>
      <c r="L92" s="52">
        <f t="shared" si="38"/>
        <v>0</v>
      </c>
      <c r="M92" s="36">
        <f t="shared" si="39"/>
        <v>0</v>
      </c>
      <c r="N92" s="36">
        <f t="shared" si="40"/>
        <v>0</v>
      </c>
      <c r="O92" s="49">
        <f t="shared" si="36"/>
        <v>0</v>
      </c>
      <c r="P92" s="52" t="e">
        <f>N92/M92*100</f>
        <v>#DIV/0!</v>
      </c>
      <c r="Q92" s="52"/>
      <c r="R92" s="128"/>
    </row>
    <row r="93" spans="1:18" s="6" customFormat="1" ht="31.5" hidden="1">
      <c r="A93" s="8"/>
      <c r="B93" s="62" t="s">
        <v>126</v>
      </c>
      <c r="C93" s="59"/>
      <c r="D93" s="37">
        <v>0</v>
      </c>
      <c r="E93" s="37">
        <v>0</v>
      </c>
      <c r="F93" s="152">
        <v>0</v>
      </c>
      <c r="G93" s="45"/>
      <c r="H93" s="36"/>
      <c r="I93" s="52"/>
      <c r="J93" s="52"/>
      <c r="K93" s="52"/>
      <c r="L93" s="52">
        <f t="shared" si="38"/>
        <v>0</v>
      </c>
      <c r="M93" s="36">
        <f t="shared" si="39"/>
        <v>0</v>
      </c>
      <c r="N93" s="36">
        <f t="shared" si="40"/>
        <v>0</v>
      </c>
      <c r="O93" s="49"/>
      <c r="P93" s="52"/>
      <c r="Q93" s="52"/>
      <c r="R93" s="128"/>
    </row>
    <row r="94" spans="1:18" s="6" customFormat="1" ht="47.25" hidden="1">
      <c r="A94" s="8"/>
      <c r="B94" s="43" t="s">
        <v>137</v>
      </c>
      <c r="C94" s="98">
        <v>22010900</v>
      </c>
      <c r="D94" s="37">
        <v>0</v>
      </c>
      <c r="E94" s="37">
        <v>0</v>
      </c>
      <c r="F94" s="152">
        <v>0</v>
      </c>
      <c r="G94" s="45">
        <f aca="true" t="shared" si="41" ref="G94:G101">F94-E94</f>
        <v>0</v>
      </c>
      <c r="H94" s="36"/>
      <c r="I94" s="52">
        <f aca="true" t="shared" si="42" ref="I94:I100">F94-D94</f>
        <v>0</v>
      </c>
      <c r="J94" s="52"/>
      <c r="K94" s="52"/>
      <c r="L94" s="52">
        <f t="shared" si="38"/>
        <v>0</v>
      </c>
      <c r="M94" s="36">
        <f t="shared" si="39"/>
        <v>0</v>
      </c>
      <c r="N94" s="36">
        <f t="shared" si="40"/>
        <v>0</v>
      </c>
      <c r="O94" s="49">
        <f aca="true" t="shared" si="43" ref="O94:O101">N94-M94</f>
        <v>0</v>
      </c>
      <c r="P94" s="52"/>
      <c r="Q94" s="52"/>
      <c r="R94" s="128"/>
    </row>
    <row r="95" spans="1:18" s="6" customFormat="1" ht="31.5">
      <c r="A95" s="8"/>
      <c r="B95" s="15" t="s">
        <v>78</v>
      </c>
      <c r="C95" s="69">
        <v>22080401</v>
      </c>
      <c r="D95" s="37">
        <v>3780</v>
      </c>
      <c r="E95" s="37">
        <v>630</v>
      </c>
      <c r="F95" s="152">
        <v>0</v>
      </c>
      <c r="G95" s="45">
        <f t="shared" si="41"/>
        <v>-630</v>
      </c>
      <c r="H95" s="36">
        <f>F95/E95*100</f>
        <v>0</v>
      </c>
      <c r="I95" s="52">
        <f t="shared" si="42"/>
        <v>-3780</v>
      </c>
      <c r="J95" s="52">
        <f>F95/D95*100</f>
        <v>0</v>
      </c>
      <c r="K95" s="52">
        <f>F95-647.49</f>
        <v>-647.49</v>
      </c>
      <c r="L95" s="52">
        <f>F95/647.49*100</f>
        <v>0</v>
      </c>
      <c r="M95" s="36">
        <f t="shared" si="39"/>
        <v>630</v>
      </c>
      <c r="N95" s="36">
        <f t="shared" si="40"/>
        <v>0</v>
      </c>
      <c r="O95" s="49">
        <f t="shared" si="43"/>
        <v>-630</v>
      </c>
      <c r="P95" s="52">
        <f>N95/M95*100</f>
        <v>0</v>
      </c>
      <c r="Q95" s="52">
        <f>N95-647.49</f>
        <v>-647.49</v>
      </c>
      <c r="R95" s="128">
        <f>N95/647.49</f>
        <v>0</v>
      </c>
    </row>
    <row r="96" spans="1:18" s="6" customFormat="1" ht="15.75">
      <c r="A96" s="8"/>
      <c r="B96" s="15" t="s">
        <v>80</v>
      </c>
      <c r="C96" s="61">
        <v>22090000</v>
      </c>
      <c r="D96" s="37">
        <v>420</v>
      </c>
      <c r="E96" s="37">
        <v>70</v>
      </c>
      <c r="F96" s="152">
        <v>1.29</v>
      </c>
      <c r="G96" s="45">
        <f t="shared" si="41"/>
        <v>-68.71</v>
      </c>
      <c r="H96" s="36">
        <f>F96/E96*100</f>
        <v>1.842857142857143</v>
      </c>
      <c r="I96" s="52">
        <f t="shared" si="42"/>
        <v>-418.71</v>
      </c>
      <c r="J96" s="52">
        <f>F96/D96*100</f>
        <v>0.3071428571428571</v>
      </c>
      <c r="K96" s="52">
        <f>F96-79.51</f>
        <v>-78.22</v>
      </c>
      <c r="L96" s="52">
        <f>F96/79.51*100</f>
        <v>1.6224374292541817</v>
      </c>
      <c r="M96" s="36">
        <f t="shared" si="39"/>
        <v>70</v>
      </c>
      <c r="N96" s="36">
        <f t="shared" si="40"/>
        <v>1.29</v>
      </c>
      <c r="O96" s="49">
        <f t="shared" si="43"/>
        <v>-68.71</v>
      </c>
      <c r="P96" s="52">
        <f>N96/M96*100</f>
        <v>1.842857142857143</v>
      </c>
      <c r="Q96" s="52">
        <f>N96-79.51</f>
        <v>-78.22</v>
      </c>
      <c r="R96" s="128">
        <f>N96/79.51</f>
        <v>0.016224374292541817</v>
      </c>
    </row>
    <row r="97" spans="1:18" s="6" customFormat="1" ht="47.25">
      <c r="A97" s="8"/>
      <c r="B97" s="15" t="s">
        <v>96</v>
      </c>
      <c r="C97" s="13" t="s">
        <v>97</v>
      </c>
      <c r="D97" s="37">
        <v>0</v>
      </c>
      <c r="E97" s="37">
        <v>0</v>
      </c>
      <c r="F97" s="152">
        <v>0</v>
      </c>
      <c r="G97" s="45">
        <f t="shared" si="41"/>
        <v>0</v>
      </c>
      <c r="H97" s="36"/>
      <c r="I97" s="52">
        <f t="shared" si="42"/>
        <v>0</v>
      </c>
      <c r="J97" s="52"/>
      <c r="K97" s="52"/>
      <c r="L97" s="52"/>
      <c r="M97" s="36">
        <f t="shared" si="39"/>
        <v>0</v>
      </c>
      <c r="N97" s="36">
        <f t="shared" si="40"/>
        <v>0</v>
      </c>
      <c r="O97" s="49">
        <f t="shared" si="43"/>
        <v>0</v>
      </c>
      <c r="P97" s="52"/>
      <c r="Q97" s="52">
        <f>N97-0</f>
        <v>0</v>
      </c>
      <c r="R97" s="128"/>
    </row>
    <row r="98" spans="1:18" s="6" customFormat="1" ht="15.75" hidden="1">
      <c r="A98" s="8"/>
      <c r="B98" s="12" t="s">
        <v>73</v>
      </c>
      <c r="C98" s="61" t="s">
        <v>98</v>
      </c>
      <c r="D98" s="37">
        <v>0</v>
      </c>
      <c r="E98" s="37">
        <v>0</v>
      </c>
      <c r="F98" s="152">
        <v>0</v>
      </c>
      <c r="G98" s="45">
        <f t="shared" si="41"/>
        <v>0</v>
      </c>
      <c r="H98" s="36" t="e">
        <f>F98/E98*100</f>
        <v>#DIV/0!</v>
      </c>
      <c r="I98" s="52">
        <f t="shared" si="42"/>
        <v>0</v>
      </c>
      <c r="J98" s="52" t="e">
        <f>F98/D98*100</f>
        <v>#DIV/0!</v>
      </c>
      <c r="K98" s="52"/>
      <c r="L98" s="52">
        <f t="shared" si="38"/>
        <v>0</v>
      </c>
      <c r="M98" s="36">
        <f t="shared" si="39"/>
        <v>0</v>
      </c>
      <c r="N98" s="36">
        <f t="shared" si="40"/>
        <v>0</v>
      </c>
      <c r="O98" s="49">
        <f t="shared" si="43"/>
        <v>0</v>
      </c>
      <c r="P98" s="52" t="e">
        <f>N98/M98*100</f>
        <v>#DIV/0!</v>
      </c>
      <c r="Q98" s="52"/>
      <c r="R98" s="128"/>
    </row>
    <row r="99" spans="1:18" s="6" customFormat="1" ht="15.75" customHeight="1">
      <c r="A99" s="8"/>
      <c r="B99" s="14" t="s">
        <v>73</v>
      </c>
      <c r="C99" s="13" t="s">
        <v>99</v>
      </c>
      <c r="D99" s="37">
        <v>2280</v>
      </c>
      <c r="E99" s="37">
        <v>380</v>
      </c>
      <c r="F99" s="152">
        <v>64.34</v>
      </c>
      <c r="G99" s="45">
        <f t="shared" si="41"/>
        <v>-315.65999999999997</v>
      </c>
      <c r="H99" s="36">
        <f>F99/E99*100</f>
        <v>16.931578947368422</v>
      </c>
      <c r="I99" s="52">
        <f t="shared" si="42"/>
        <v>-2215.66</v>
      </c>
      <c r="J99" s="52">
        <f>F99/D99*100</f>
        <v>2.8219298245614035</v>
      </c>
      <c r="K99" s="52">
        <f>F99-277.38</f>
        <v>-213.04</v>
      </c>
      <c r="L99" s="52">
        <f>F99/277.38*100</f>
        <v>23.195616122287117</v>
      </c>
      <c r="M99" s="36">
        <f t="shared" si="39"/>
        <v>380</v>
      </c>
      <c r="N99" s="36">
        <f t="shared" si="40"/>
        <v>64.34</v>
      </c>
      <c r="O99" s="49">
        <f t="shared" si="43"/>
        <v>-315.65999999999997</v>
      </c>
      <c r="P99" s="52">
        <f>N99/M99*100</f>
        <v>16.931578947368422</v>
      </c>
      <c r="Q99" s="52">
        <f>N99-277.38</f>
        <v>-213.04</v>
      </c>
      <c r="R99" s="128">
        <f>N99/277.38</f>
        <v>0.23195616122287116</v>
      </c>
    </row>
    <row r="100" spans="1:18" s="6" customFormat="1" ht="31.5" customHeight="1" hidden="1">
      <c r="A100" s="8"/>
      <c r="B100" s="14" t="s">
        <v>100</v>
      </c>
      <c r="C100" s="85" t="s">
        <v>101</v>
      </c>
      <c r="D100" s="37">
        <v>0</v>
      </c>
      <c r="E100" s="37">
        <v>0</v>
      </c>
      <c r="F100" s="152">
        <v>0</v>
      </c>
      <c r="G100" s="45">
        <f t="shared" si="41"/>
        <v>0</v>
      </c>
      <c r="H100" s="36" t="e">
        <f>F100/E100*100</f>
        <v>#DIV/0!</v>
      </c>
      <c r="I100" s="52">
        <f t="shared" si="42"/>
        <v>0</v>
      </c>
      <c r="J100" s="52" t="e">
        <f>F100/D100*100</f>
        <v>#DIV/0!</v>
      </c>
      <c r="K100" s="52"/>
      <c r="L100" s="52">
        <f t="shared" si="38"/>
        <v>0</v>
      </c>
      <c r="M100" s="36">
        <f t="shared" si="39"/>
        <v>0</v>
      </c>
      <c r="N100" s="36">
        <f t="shared" si="40"/>
        <v>0</v>
      </c>
      <c r="O100" s="49">
        <f t="shared" si="43"/>
        <v>0</v>
      </c>
      <c r="P100" s="52" t="e">
        <f>F100/M100*100</f>
        <v>#DIV/0!</v>
      </c>
      <c r="Q100" s="52"/>
      <c r="R100" s="128">
        <f>N100/277.38</f>
        <v>0</v>
      </c>
    </row>
    <row r="101" spans="1:18" s="6" customFormat="1" ht="15.75" hidden="1">
      <c r="A101" s="8"/>
      <c r="B101" s="14" t="s">
        <v>102</v>
      </c>
      <c r="C101" s="85" t="s">
        <v>103</v>
      </c>
      <c r="D101" s="37">
        <v>0</v>
      </c>
      <c r="E101" s="37">
        <v>0</v>
      </c>
      <c r="F101" s="152">
        <v>0</v>
      </c>
      <c r="G101" s="45">
        <f t="shared" si="41"/>
        <v>0</v>
      </c>
      <c r="H101" s="36" t="e">
        <f>F101/E101*100</f>
        <v>#DIV/0!</v>
      </c>
      <c r="I101" s="52"/>
      <c r="J101" s="52" t="e">
        <f>F101/D101*100</f>
        <v>#DIV/0!</v>
      </c>
      <c r="K101" s="52"/>
      <c r="L101" s="52">
        <f t="shared" si="38"/>
        <v>0</v>
      </c>
      <c r="M101" s="36">
        <f t="shared" si="39"/>
        <v>0</v>
      </c>
      <c r="N101" s="36">
        <f t="shared" si="40"/>
        <v>0</v>
      </c>
      <c r="O101" s="49">
        <f t="shared" si="43"/>
        <v>0</v>
      </c>
      <c r="P101" s="52"/>
      <c r="Q101" s="52"/>
      <c r="R101" s="128">
        <f>N101/277.38</f>
        <v>0</v>
      </c>
    </row>
    <row r="102" spans="1:18" s="6" customFormat="1" ht="31.5">
      <c r="A102" s="8"/>
      <c r="B102" s="71" t="s">
        <v>127</v>
      </c>
      <c r="C102" s="85"/>
      <c r="D102" s="137"/>
      <c r="E102" s="137"/>
      <c r="F102" s="153">
        <v>3.3</v>
      </c>
      <c r="G102" s="137"/>
      <c r="H102" s="139"/>
      <c r="I102" s="138"/>
      <c r="J102" s="138"/>
      <c r="K102" s="138">
        <f>F102-64.93</f>
        <v>-61.63000000000001</v>
      </c>
      <c r="L102" s="140">
        <f>F102/64.93*100</f>
        <v>5.082396426921299</v>
      </c>
      <c r="M102" s="36">
        <f t="shared" si="39"/>
        <v>0</v>
      </c>
      <c r="N102" s="36">
        <f t="shared" si="40"/>
        <v>3.3</v>
      </c>
      <c r="O102" s="49"/>
      <c r="P102" s="52"/>
      <c r="Q102" s="52">
        <f>N102-64.93</f>
        <v>-61.63000000000001</v>
      </c>
      <c r="R102" s="128">
        <f>N102/64.93</f>
        <v>0.05082396426921299</v>
      </c>
    </row>
    <row r="103" spans="1:18" s="6" customFormat="1" ht="44.25" customHeight="1">
      <c r="A103" s="8"/>
      <c r="B103" s="14" t="s">
        <v>128</v>
      </c>
      <c r="C103" s="61">
        <v>24061900</v>
      </c>
      <c r="D103" s="37">
        <v>0</v>
      </c>
      <c r="E103" s="37">
        <v>0</v>
      </c>
      <c r="F103" s="152">
        <v>0</v>
      </c>
      <c r="G103" s="45"/>
      <c r="H103" s="36"/>
      <c r="I103" s="52">
        <f aca="true" t="shared" si="44" ref="I103:I110">F103-D103</f>
        <v>0</v>
      </c>
      <c r="J103" s="52"/>
      <c r="K103" s="52">
        <f>F103-0</f>
        <v>0</v>
      </c>
      <c r="L103" s="52" t="e">
        <f>F103/0*100</f>
        <v>#DIV/0!</v>
      </c>
      <c r="M103" s="36">
        <f t="shared" si="39"/>
        <v>0</v>
      </c>
      <c r="N103" s="36">
        <f t="shared" si="40"/>
        <v>0</v>
      </c>
      <c r="O103" s="49">
        <f aca="true" t="shared" si="45" ref="O103:O109">N103-M103</f>
        <v>0</v>
      </c>
      <c r="P103" s="52"/>
      <c r="Q103" s="52"/>
      <c r="R103" s="128"/>
    </row>
    <row r="104" spans="1:18" s="6" customFormat="1" ht="31.5">
      <c r="A104" s="8"/>
      <c r="B104" s="14" t="s">
        <v>129</v>
      </c>
      <c r="C104" s="61">
        <v>31010200</v>
      </c>
      <c r="D104" s="37">
        <v>11</v>
      </c>
      <c r="E104" s="37">
        <v>2</v>
      </c>
      <c r="F104" s="152">
        <v>0</v>
      </c>
      <c r="G104" s="45">
        <f>F104-E104</f>
        <v>-2</v>
      </c>
      <c r="H104" s="36"/>
      <c r="I104" s="52">
        <f t="shared" si="44"/>
        <v>-11</v>
      </c>
      <c r="J104" s="52">
        <f aca="true" t="shared" si="46" ref="J104:J109">F104/D104*100</f>
        <v>0</v>
      </c>
      <c r="K104" s="52">
        <f>F104-2.2</f>
        <v>-2.2</v>
      </c>
      <c r="L104" s="52">
        <f>F104/2.21*100</f>
        <v>0</v>
      </c>
      <c r="M104" s="36">
        <f t="shared" si="39"/>
        <v>2</v>
      </c>
      <c r="N104" s="36">
        <f t="shared" si="40"/>
        <v>0</v>
      </c>
      <c r="O104" s="49">
        <f t="shared" si="45"/>
        <v>-2</v>
      </c>
      <c r="P104" s="52"/>
      <c r="Q104" s="52"/>
      <c r="R104" s="128"/>
    </row>
    <row r="105" spans="1:18" s="6" customFormat="1" ht="31.5">
      <c r="A105" s="8"/>
      <c r="B105" s="14" t="s">
        <v>165</v>
      </c>
      <c r="C105" s="61">
        <v>31020000</v>
      </c>
      <c r="D105" s="37">
        <v>0</v>
      </c>
      <c r="E105" s="37">
        <v>0</v>
      </c>
      <c r="F105" s="152">
        <v>0</v>
      </c>
      <c r="G105" s="45"/>
      <c r="H105" s="36"/>
      <c r="I105" s="52"/>
      <c r="J105" s="52"/>
      <c r="K105" s="52"/>
      <c r="L105" s="52"/>
      <c r="M105" s="36">
        <f t="shared" si="39"/>
        <v>0</v>
      </c>
      <c r="N105" s="36">
        <f t="shared" si="40"/>
        <v>0</v>
      </c>
      <c r="O105" s="49">
        <f t="shared" si="45"/>
        <v>0</v>
      </c>
      <c r="P105" s="52"/>
      <c r="Q105" s="52"/>
      <c r="R105" s="128"/>
    </row>
    <row r="106" spans="1:18" s="6" customFormat="1" ht="18.75">
      <c r="A106" s="9"/>
      <c r="B106" s="17" t="s">
        <v>109</v>
      </c>
      <c r="C106" s="86"/>
      <c r="D106" s="18">
        <f>D8+D74+D104+D105</f>
        <v>236750</v>
      </c>
      <c r="E106" s="18">
        <f>E8+E74+E104+E105</f>
        <v>37726</v>
      </c>
      <c r="F106" s="141">
        <f>F8+F74+F104+F105</f>
        <v>6627.51</v>
      </c>
      <c r="G106" s="46">
        <f>F106-E106</f>
        <v>-31098.489999999998</v>
      </c>
      <c r="H106" s="47">
        <f>F106/E106*100</f>
        <v>17.567486614006256</v>
      </c>
      <c r="I106" s="32">
        <f t="shared" si="44"/>
        <v>-230122.49</v>
      </c>
      <c r="J106" s="32">
        <f t="shared" si="46"/>
        <v>2.7993706441393877</v>
      </c>
      <c r="K106" s="32">
        <f>F106-34768</f>
        <v>-28140.489999999998</v>
      </c>
      <c r="L106" s="32">
        <f>F106/34768*100</f>
        <v>19.06209733087897</v>
      </c>
      <c r="M106" s="18">
        <f>M8+M74+M104+M105</f>
        <v>37726</v>
      </c>
      <c r="N106" s="18">
        <f>N8+N74+N104+N105</f>
        <v>6627.51</v>
      </c>
      <c r="O106" s="51">
        <f t="shared" si="45"/>
        <v>-31098.489999999998</v>
      </c>
      <c r="P106" s="32">
        <f>N106/M106*100</f>
        <v>17.567486614006256</v>
      </c>
      <c r="Q106" s="32">
        <f>N106-34768</f>
        <v>-28140.489999999998</v>
      </c>
      <c r="R106" s="129">
        <f>N106/34768</f>
        <v>0.1906209733087897</v>
      </c>
    </row>
    <row r="107" spans="1:18" s="68" customFormat="1" ht="18.75">
      <c r="A107" s="64"/>
      <c r="B107" s="65" t="s">
        <v>141</v>
      </c>
      <c r="C107" s="87"/>
      <c r="D107" s="66">
        <f>D10-D18+D96</f>
        <v>184720</v>
      </c>
      <c r="E107" s="66">
        <f>E10-E18+E96</f>
        <v>29370</v>
      </c>
      <c r="F107" s="142">
        <f>F10-F18+F96</f>
        <v>6241.06</v>
      </c>
      <c r="G107" s="66">
        <f>G10-G18+G96</f>
        <v>-23128.94</v>
      </c>
      <c r="H107" s="67">
        <f>F107/E107*100</f>
        <v>21.249778685733745</v>
      </c>
      <c r="I107" s="48">
        <f t="shared" si="44"/>
        <v>-178478.94</v>
      </c>
      <c r="J107" s="48">
        <f t="shared" si="46"/>
        <v>3.378659592897358</v>
      </c>
      <c r="K107" s="48">
        <f>F107-26647.6</f>
        <v>-20406.539999999997</v>
      </c>
      <c r="L107" s="48">
        <f>F107/26647.6*100</f>
        <v>23.420720815383</v>
      </c>
      <c r="M107" s="66">
        <f>M10-M18+M96</f>
        <v>29370</v>
      </c>
      <c r="N107" s="66">
        <f>N10-N18+N96</f>
        <v>6241.06</v>
      </c>
      <c r="O107" s="49">
        <f t="shared" si="45"/>
        <v>-23128.94</v>
      </c>
      <c r="P107" s="48">
        <f>N107/M107*100</f>
        <v>21.249778685733745</v>
      </c>
      <c r="Q107" s="48">
        <f>N107-26647.62</f>
        <v>-20406.559999999998</v>
      </c>
      <c r="R107" s="130">
        <f>N107/26647.62</f>
        <v>0.23420703237287235</v>
      </c>
    </row>
    <row r="108" spans="1:18" s="68" customFormat="1" ht="18.75">
      <c r="A108" s="64"/>
      <c r="B108" s="65" t="s">
        <v>142</v>
      </c>
      <c r="C108" s="87"/>
      <c r="D108" s="66">
        <f>D106-D107</f>
        <v>52030</v>
      </c>
      <c r="E108" s="66">
        <f>E106-E107</f>
        <v>8356</v>
      </c>
      <c r="F108" s="142">
        <f>F106-F107</f>
        <v>386.4499999999998</v>
      </c>
      <c r="G108" s="57">
        <f>F108-E108</f>
        <v>-7969.55</v>
      </c>
      <c r="H108" s="67">
        <f>F108/E108*100</f>
        <v>4.624820488271898</v>
      </c>
      <c r="I108" s="48">
        <f t="shared" si="44"/>
        <v>-51643.55</v>
      </c>
      <c r="J108" s="48">
        <f t="shared" si="46"/>
        <v>0.7427445704401303</v>
      </c>
      <c r="K108" s="48">
        <f>F108-8120.4</f>
        <v>-7733.95</v>
      </c>
      <c r="L108" s="48">
        <f>F108/8120.4*100</f>
        <v>4.759002019604944</v>
      </c>
      <c r="M108" s="66">
        <f>M106-M107</f>
        <v>8356</v>
      </c>
      <c r="N108" s="66">
        <f>N106-N107</f>
        <v>386.4499999999998</v>
      </c>
      <c r="O108" s="49">
        <f t="shared" si="45"/>
        <v>-7969.55</v>
      </c>
      <c r="P108" s="48">
        <f>N108/M108*100</f>
        <v>4.624820488271898</v>
      </c>
      <c r="Q108" s="48">
        <f>N108-8120.38</f>
        <v>-7733.93</v>
      </c>
      <c r="R108" s="130">
        <f>N108/8120.38</f>
        <v>0.04759013740736269</v>
      </c>
    </row>
    <row r="109" spans="1:18" s="68" customFormat="1" ht="18.75">
      <c r="A109" s="64"/>
      <c r="B109" s="77" t="s">
        <v>150</v>
      </c>
      <c r="C109" s="87"/>
      <c r="D109" s="66">
        <v>0</v>
      </c>
      <c r="E109" s="114">
        <v>0</v>
      </c>
      <c r="F109" s="142">
        <v>0</v>
      </c>
      <c r="G109" s="104">
        <f>F109-E109</f>
        <v>0</v>
      </c>
      <c r="H109" s="67" t="e">
        <f>F109/E109*100</f>
        <v>#DIV/0!</v>
      </c>
      <c r="I109" s="76">
        <f t="shared" si="44"/>
        <v>0</v>
      </c>
      <c r="J109" s="48" t="e">
        <f t="shared" si="46"/>
        <v>#DIV/0!</v>
      </c>
      <c r="K109" s="48"/>
      <c r="L109" s="48"/>
      <c r="M109" s="115">
        <f>E109</f>
        <v>0</v>
      </c>
      <c r="N109" s="66"/>
      <c r="O109" s="111">
        <f t="shared" si="45"/>
        <v>0</v>
      </c>
      <c r="P109" s="48" t="e">
        <f>N109/M109*100</f>
        <v>#DIV/0!</v>
      </c>
      <c r="Q109" s="48"/>
      <c r="R109" s="130"/>
    </row>
    <row r="110" spans="1:18" s="68" customFormat="1" ht="18.75">
      <c r="A110" s="64"/>
      <c r="B110" s="78" t="s">
        <v>152</v>
      </c>
      <c r="C110" s="87"/>
      <c r="D110" s="79">
        <v>1171.6179</v>
      </c>
      <c r="E110" s="66">
        <v>1171.6179</v>
      </c>
      <c r="F110" s="66">
        <f>'[1]січень'!$C$27/1000</f>
        <v>0</v>
      </c>
      <c r="G110" s="57">
        <f>F110-E110</f>
        <v>-1171.6179</v>
      </c>
      <c r="H110" s="67"/>
      <c r="I110" s="80">
        <f t="shared" si="44"/>
        <v>-1171.6179</v>
      </c>
      <c r="J110" s="48"/>
      <c r="K110" s="48"/>
      <c r="L110" s="48"/>
      <c r="M110" s="36">
        <f>E110</f>
        <v>1171.6179</v>
      </c>
      <c r="N110" s="66">
        <f>F110</f>
        <v>0</v>
      </c>
      <c r="O110" s="81">
        <f>N110-M110</f>
        <v>-1171.6179</v>
      </c>
      <c r="P110" s="48">
        <f>N110/M110*100</f>
        <v>0</v>
      </c>
      <c r="Q110" s="48"/>
      <c r="R110" s="130"/>
    </row>
    <row r="111" spans="1:18" s="68" customFormat="1" ht="37.5" hidden="1">
      <c r="A111" s="64"/>
      <c r="B111" s="78" t="s">
        <v>177</v>
      </c>
      <c r="C111" s="87"/>
      <c r="D111" s="79"/>
      <c r="E111" s="45">
        <v>0</v>
      </c>
      <c r="F111" s="79">
        <v>0</v>
      </c>
      <c r="G111" s="57">
        <f>F111-E111</f>
        <v>0</v>
      </c>
      <c r="H111" s="67"/>
      <c r="I111" s="80"/>
      <c r="J111" s="48"/>
      <c r="K111" s="48"/>
      <c r="L111" s="48"/>
      <c r="M111" s="36">
        <v>0</v>
      </c>
      <c r="N111" s="79">
        <v>0</v>
      </c>
      <c r="O111" s="111">
        <f>N111-M111</f>
        <v>0</v>
      </c>
      <c r="P111" s="48"/>
      <c r="Q111" s="48"/>
      <c r="R111" s="130"/>
    </row>
    <row r="112" spans="2:18" ht="15.75">
      <c r="B112" s="25" t="s">
        <v>110</v>
      </c>
      <c r="C112" s="88"/>
      <c r="D112" s="29"/>
      <c r="E112" s="29"/>
      <c r="F112" s="28"/>
      <c r="G112" s="45"/>
      <c r="H112" s="36"/>
      <c r="I112" s="55"/>
      <c r="J112" s="55"/>
      <c r="K112" s="55"/>
      <c r="L112" s="55"/>
      <c r="M112" s="37"/>
      <c r="N112" s="37"/>
      <c r="O112" s="49"/>
      <c r="P112" s="55"/>
      <c r="Q112" s="55"/>
      <c r="R112" s="131"/>
    </row>
    <row r="113" spans="2:18" ht="15.75" customHeight="1">
      <c r="B113" s="50" t="s">
        <v>138</v>
      </c>
      <c r="C113" s="99">
        <v>12020000</v>
      </c>
      <c r="D113" s="29">
        <v>0</v>
      </c>
      <c r="E113" s="29">
        <v>0</v>
      </c>
      <c r="F113" s="157">
        <v>0</v>
      </c>
      <c r="G113" s="45">
        <f aca="true" t="shared" si="47" ref="G113:G125">F113-E113</f>
        <v>0</v>
      </c>
      <c r="H113" s="36"/>
      <c r="I113" s="55">
        <f aca="true" t="shared" si="48" ref="I113:I124">F113-D113</f>
        <v>0</v>
      </c>
      <c r="J113" s="55"/>
      <c r="K113" s="55">
        <f>F113-0.18</f>
        <v>-0.18</v>
      </c>
      <c r="L113" s="55">
        <f>F113/0.18*100</f>
        <v>0</v>
      </c>
      <c r="M113" s="36">
        <f aca="true" t="shared" si="49" ref="M113:N115">E113</f>
        <v>0</v>
      </c>
      <c r="N113" s="36">
        <f t="shared" si="49"/>
        <v>0</v>
      </c>
      <c r="O113" s="49"/>
      <c r="P113" s="55"/>
      <c r="Q113" s="55">
        <f>N113-0.18</f>
        <v>-0.18</v>
      </c>
      <c r="R113" s="131"/>
    </row>
    <row r="114" spans="2:18" ht="15.75">
      <c r="B114" s="26" t="s">
        <v>131</v>
      </c>
      <c r="C114" s="99">
        <v>12030000</v>
      </c>
      <c r="D114" s="29">
        <v>4283.157</v>
      </c>
      <c r="E114" s="29">
        <v>713.859</v>
      </c>
      <c r="F114" s="157">
        <v>11.72</v>
      </c>
      <c r="G114" s="45">
        <f t="shared" si="47"/>
        <v>-702.139</v>
      </c>
      <c r="H114" s="36">
        <f aca="true" t="shared" si="50" ref="H114:H125">F114/E114*100</f>
        <v>1.6417807998498304</v>
      </c>
      <c r="I114" s="55">
        <f t="shared" si="48"/>
        <v>-4271.437</v>
      </c>
      <c r="J114" s="55">
        <f aca="true" t="shared" si="51" ref="J114:J120">F114/D114*100</f>
        <v>0.2736299416528509</v>
      </c>
      <c r="K114" s="55">
        <f>F114-68.14</f>
        <v>-56.42</v>
      </c>
      <c r="L114" s="55">
        <f>F114/68.14*100</f>
        <v>17.19988259465806</v>
      </c>
      <c r="M114" s="36">
        <f t="shared" si="49"/>
        <v>713.859</v>
      </c>
      <c r="N114" s="36">
        <f t="shared" si="49"/>
        <v>11.72</v>
      </c>
      <c r="O114" s="49">
        <f aca="true" t="shared" si="52" ref="O114:O125">N114-M114</f>
        <v>-702.139</v>
      </c>
      <c r="P114" s="55">
        <f>N114/M114*100</f>
        <v>1.6417807998498304</v>
      </c>
      <c r="Q114" s="55">
        <f>N114-68.14</f>
        <v>-56.42</v>
      </c>
      <c r="R114" s="131">
        <f>N114/68.14</f>
        <v>0.17199882594658059</v>
      </c>
    </row>
    <row r="115" spans="2:18" ht="31.5">
      <c r="B115" s="26" t="s">
        <v>170</v>
      </c>
      <c r="C115" s="99">
        <v>18041500</v>
      </c>
      <c r="D115" s="29">
        <v>150</v>
      </c>
      <c r="E115" s="29">
        <v>25</v>
      </c>
      <c r="F115" s="157">
        <v>3.949</v>
      </c>
      <c r="G115" s="45">
        <f t="shared" si="47"/>
        <v>-21.051000000000002</v>
      </c>
      <c r="H115" s="36">
        <f t="shared" si="50"/>
        <v>15.796</v>
      </c>
      <c r="I115" s="55">
        <f t="shared" si="48"/>
        <v>-146.051</v>
      </c>
      <c r="J115" s="55">
        <f t="shared" si="51"/>
        <v>2.6326666666666663</v>
      </c>
      <c r="K115" s="55">
        <f>F115-24.53</f>
        <v>-20.581000000000003</v>
      </c>
      <c r="L115" s="55">
        <f>F115/24.53*100</f>
        <v>16.098654708520176</v>
      </c>
      <c r="M115" s="36">
        <f t="shared" si="49"/>
        <v>25</v>
      </c>
      <c r="N115" s="36">
        <f t="shared" si="49"/>
        <v>3.949</v>
      </c>
      <c r="O115" s="49">
        <f t="shared" si="52"/>
        <v>-21.051000000000002</v>
      </c>
      <c r="P115" s="55">
        <f>N115/M115*100</f>
        <v>15.796</v>
      </c>
      <c r="Q115" s="55">
        <f>N115-24.53</f>
        <v>-20.581000000000003</v>
      </c>
      <c r="R115" s="131">
        <f>N115/24.53</f>
        <v>0.16098654708520177</v>
      </c>
    </row>
    <row r="116" spans="2:18" ht="15.75">
      <c r="B116" s="33" t="s">
        <v>130</v>
      </c>
      <c r="C116" s="100"/>
      <c r="D116" s="34">
        <f>D114+D115+D113</f>
        <v>4433.157</v>
      </c>
      <c r="E116" s="34">
        <f>E114+E115+E113</f>
        <v>738.859</v>
      </c>
      <c r="F116" s="110">
        <f>SUM(F113:F115)</f>
        <v>15.669</v>
      </c>
      <c r="G116" s="57">
        <f t="shared" si="47"/>
        <v>-723.19</v>
      </c>
      <c r="H116" s="67">
        <f t="shared" si="50"/>
        <v>2.120702326154246</v>
      </c>
      <c r="I116" s="56">
        <f t="shared" si="48"/>
        <v>-4417.488</v>
      </c>
      <c r="J116" s="56">
        <f t="shared" si="51"/>
        <v>0.3534501485059067</v>
      </c>
      <c r="K116" s="56">
        <f>F116-92.85</f>
        <v>-77.181</v>
      </c>
      <c r="L116" s="56">
        <f>F116/92.85*100</f>
        <v>16.87560581583199</v>
      </c>
      <c r="M116" s="57">
        <f>M114+M115+M113</f>
        <v>738.859</v>
      </c>
      <c r="N116" s="34">
        <f>SUM(N113:N115)</f>
        <v>15.669</v>
      </c>
      <c r="O116" s="56">
        <f t="shared" si="52"/>
        <v>-723.19</v>
      </c>
      <c r="P116" s="56">
        <f>N116/M116*100</f>
        <v>2.120702326154246</v>
      </c>
      <c r="Q116" s="56">
        <f>N116-92.85</f>
        <v>-77.181</v>
      </c>
      <c r="R116" s="132">
        <f>N116/92.85</f>
        <v>0.1687560581583199</v>
      </c>
    </row>
    <row r="117" spans="2:18" ht="47.25" hidden="1">
      <c r="B117" s="26" t="s">
        <v>121</v>
      </c>
      <c r="C117" s="100">
        <v>21110000</v>
      </c>
      <c r="D117" s="29">
        <v>0</v>
      </c>
      <c r="E117" s="29"/>
      <c r="F117" s="29">
        <v>0</v>
      </c>
      <c r="G117" s="45">
        <f t="shared" si="47"/>
        <v>0</v>
      </c>
      <c r="H117" s="36" t="e">
        <f t="shared" si="50"/>
        <v>#DIV/0!</v>
      </c>
      <c r="I117" s="55">
        <f t="shared" si="48"/>
        <v>0</v>
      </c>
      <c r="J117" s="55" t="e">
        <f t="shared" si="51"/>
        <v>#DIV/0!</v>
      </c>
      <c r="K117" s="55"/>
      <c r="L117" s="55"/>
      <c r="M117" s="37">
        <v>0</v>
      </c>
      <c r="N117" s="37">
        <f aca="true" t="shared" si="53" ref="N117:N122">F117</f>
        <v>0</v>
      </c>
      <c r="O117" s="49">
        <f t="shared" si="52"/>
        <v>0</v>
      </c>
      <c r="P117" s="55" t="e">
        <f>N117/M117*100</f>
        <v>#DIV/0!</v>
      </c>
      <c r="Q117" s="55"/>
      <c r="R117" s="131"/>
    </row>
    <row r="118" spans="2:18" ht="31.5">
      <c r="B118" s="14" t="s">
        <v>157</v>
      </c>
      <c r="C118" s="101">
        <v>18010100</v>
      </c>
      <c r="D118" s="29">
        <v>0</v>
      </c>
      <c r="E118" s="29">
        <v>0</v>
      </c>
      <c r="F118" s="158">
        <v>1.2</v>
      </c>
      <c r="G118" s="45">
        <f t="shared" si="47"/>
        <v>1.2</v>
      </c>
      <c r="H118" s="36" t="e">
        <f t="shared" si="50"/>
        <v>#DIV/0!</v>
      </c>
      <c r="I118" s="55">
        <f t="shared" si="48"/>
        <v>1.2</v>
      </c>
      <c r="J118" s="55" t="e">
        <f t="shared" si="51"/>
        <v>#DIV/0!</v>
      </c>
      <c r="K118" s="55">
        <f>F118-54.32</f>
        <v>-53.12</v>
      </c>
      <c r="L118" s="55">
        <f>F118/54.32*100</f>
        <v>2.2091310751104563</v>
      </c>
      <c r="M118" s="36">
        <f>E118</f>
        <v>0</v>
      </c>
      <c r="N118" s="36">
        <f t="shared" si="53"/>
        <v>1.2</v>
      </c>
      <c r="O118" s="49" t="s">
        <v>166</v>
      </c>
      <c r="P118" s="55"/>
      <c r="Q118" s="55">
        <f>N118-54.32</f>
        <v>-53.12</v>
      </c>
      <c r="R118" s="131"/>
    </row>
    <row r="119" spans="2:18" s="44" customFormat="1" ht="15.75">
      <c r="B119" s="15" t="s">
        <v>139</v>
      </c>
      <c r="C119" s="101">
        <v>18050000</v>
      </c>
      <c r="D119" s="29">
        <v>0</v>
      </c>
      <c r="E119" s="29">
        <v>0</v>
      </c>
      <c r="F119" s="158">
        <v>537.29</v>
      </c>
      <c r="G119" s="45">
        <f t="shared" si="47"/>
        <v>537.29</v>
      </c>
      <c r="H119" s="36" t="e">
        <f t="shared" si="50"/>
        <v>#DIV/0!</v>
      </c>
      <c r="I119" s="49">
        <f t="shared" si="48"/>
        <v>537.29</v>
      </c>
      <c r="J119" s="55" t="e">
        <f t="shared" si="51"/>
        <v>#DIV/0!</v>
      </c>
      <c r="K119" s="55">
        <f>F119-7479.86</f>
        <v>-6942.57</v>
      </c>
      <c r="L119" s="55">
        <f>F119/7479.86*100</f>
        <v>7.18315583446749</v>
      </c>
      <c r="M119" s="36">
        <f>E119</f>
        <v>0</v>
      </c>
      <c r="N119" s="36">
        <f t="shared" si="53"/>
        <v>537.29</v>
      </c>
      <c r="O119" s="49">
        <f t="shared" si="52"/>
        <v>537.29</v>
      </c>
      <c r="P119" s="55" t="e">
        <f aca="true" t="shared" si="54" ref="P119:P124">N119/M119*100</f>
        <v>#DIV/0!</v>
      </c>
      <c r="Q119" s="55">
        <f>N119-7479.86</f>
        <v>-6942.57</v>
      </c>
      <c r="R119" s="131">
        <f>N119/7479.86</f>
        <v>0.0718315583446749</v>
      </c>
    </row>
    <row r="120" spans="2:18" ht="31.5">
      <c r="B120" s="26" t="s">
        <v>111</v>
      </c>
      <c r="C120" s="99">
        <v>31030000</v>
      </c>
      <c r="D120" s="29">
        <v>0</v>
      </c>
      <c r="E120" s="29">
        <v>0</v>
      </c>
      <c r="F120" s="158">
        <v>0.005</v>
      </c>
      <c r="G120" s="45">
        <f t="shared" si="47"/>
        <v>0.005</v>
      </c>
      <c r="H120" s="36" t="e">
        <f t="shared" si="50"/>
        <v>#DIV/0!</v>
      </c>
      <c r="I120" s="55">
        <f t="shared" si="48"/>
        <v>0.005</v>
      </c>
      <c r="J120" s="55" t="e">
        <f t="shared" si="51"/>
        <v>#DIV/0!</v>
      </c>
      <c r="K120" s="55">
        <f>F120-0.04</f>
        <v>-0.035</v>
      </c>
      <c r="L120" s="55">
        <f>F120/0.04*100</f>
        <v>12.5</v>
      </c>
      <c r="M120" s="36">
        <f>E120</f>
        <v>0</v>
      </c>
      <c r="N120" s="36">
        <f t="shared" si="53"/>
        <v>0.005</v>
      </c>
      <c r="O120" s="49">
        <f t="shared" si="52"/>
        <v>0.005</v>
      </c>
      <c r="P120" s="55" t="e">
        <f t="shared" si="54"/>
        <v>#DIV/0!</v>
      </c>
      <c r="Q120" s="55">
        <f>N120-0.04</f>
        <v>-0.035</v>
      </c>
      <c r="R120" s="131">
        <f>N120/0.04</f>
        <v>0.125</v>
      </c>
    </row>
    <row r="121" spans="2:18" ht="15.75">
      <c r="B121" s="26" t="s">
        <v>112</v>
      </c>
      <c r="C121" s="99">
        <v>33010000</v>
      </c>
      <c r="D121" s="29">
        <v>0</v>
      </c>
      <c r="E121" s="29">
        <v>0</v>
      </c>
      <c r="F121" s="158">
        <v>0</v>
      </c>
      <c r="G121" s="45">
        <f t="shared" si="47"/>
        <v>0</v>
      </c>
      <c r="H121" s="36" t="e">
        <f t="shared" si="50"/>
        <v>#DIV/0!</v>
      </c>
      <c r="I121" s="55">
        <f t="shared" si="48"/>
        <v>0</v>
      </c>
      <c r="J121" s="55" t="e">
        <f>F121/D121*100</f>
        <v>#DIV/0!</v>
      </c>
      <c r="K121" s="55">
        <f>F121-450.01</f>
        <v>-450.01</v>
      </c>
      <c r="L121" s="55">
        <f>F121/450.01*100</f>
        <v>0</v>
      </c>
      <c r="M121" s="36">
        <f>E121</f>
        <v>0</v>
      </c>
      <c r="N121" s="36">
        <f t="shared" si="53"/>
        <v>0</v>
      </c>
      <c r="O121" s="49">
        <f t="shared" si="52"/>
        <v>0</v>
      </c>
      <c r="P121" s="55" t="e">
        <f t="shared" si="54"/>
        <v>#DIV/0!</v>
      </c>
      <c r="Q121" s="55">
        <f>N121-450.01</f>
        <v>-450.01</v>
      </c>
      <c r="R121" s="131">
        <f>N121/450.01</f>
        <v>0</v>
      </c>
    </row>
    <row r="122" spans="2:18" ht="31.5">
      <c r="B122" s="26" t="s">
        <v>156</v>
      </c>
      <c r="C122" s="99">
        <v>24170000</v>
      </c>
      <c r="D122" s="29">
        <v>0</v>
      </c>
      <c r="E122" s="29">
        <v>0</v>
      </c>
      <c r="F122" s="158">
        <v>0</v>
      </c>
      <c r="G122" s="45">
        <f t="shared" si="47"/>
        <v>0</v>
      </c>
      <c r="H122" s="36" t="e">
        <f t="shared" si="50"/>
        <v>#DIV/0!</v>
      </c>
      <c r="I122" s="55">
        <f t="shared" si="48"/>
        <v>0</v>
      </c>
      <c r="J122" s="55" t="e">
        <f>F122/D122*100</f>
        <v>#DIV/0!</v>
      </c>
      <c r="K122" s="55">
        <f>F122-1.05</f>
        <v>-1.05</v>
      </c>
      <c r="L122" s="55">
        <f>F122/1.05*100</f>
        <v>0</v>
      </c>
      <c r="M122" s="36">
        <f>E122</f>
        <v>0</v>
      </c>
      <c r="N122" s="36">
        <f t="shared" si="53"/>
        <v>0</v>
      </c>
      <c r="O122" s="49">
        <f t="shared" si="52"/>
        <v>0</v>
      </c>
      <c r="P122" s="55" t="e">
        <f t="shared" si="54"/>
        <v>#DIV/0!</v>
      </c>
      <c r="Q122" s="55">
        <f>N122-1.05</f>
        <v>-1.05</v>
      </c>
      <c r="R122" s="131">
        <f>N122/1.05</f>
        <v>0</v>
      </c>
    </row>
    <row r="123" spans="2:18" ht="34.5">
      <c r="B123" s="33" t="s">
        <v>144</v>
      </c>
      <c r="C123" s="89"/>
      <c r="D123" s="34">
        <f>D119+D120+D121+D122+D118</f>
        <v>0</v>
      </c>
      <c r="E123" s="34">
        <f>E119+E120+E121+E122+E118</f>
        <v>0</v>
      </c>
      <c r="F123" s="110">
        <f>F119+F120+F121+F122+F118</f>
        <v>538.495</v>
      </c>
      <c r="G123" s="57">
        <f t="shared" si="47"/>
        <v>538.495</v>
      </c>
      <c r="H123" s="67" t="e">
        <f t="shared" si="50"/>
        <v>#DIV/0!</v>
      </c>
      <c r="I123" s="56">
        <f t="shared" si="48"/>
        <v>538.495</v>
      </c>
      <c r="J123" s="56" t="e">
        <f>F123/D123*100</f>
        <v>#DIV/0!</v>
      </c>
      <c r="K123" s="56">
        <f>F123-7985.28</f>
        <v>-7446.785</v>
      </c>
      <c r="L123" s="56">
        <f>F123/7985.28*100</f>
        <v>6.743595716117657</v>
      </c>
      <c r="M123" s="57">
        <f>M119+M120+M121+M122+M118</f>
        <v>0</v>
      </c>
      <c r="N123" s="57">
        <f>N119+N120+N121+N122+N118</f>
        <v>538.495</v>
      </c>
      <c r="O123" s="56">
        <f t="shared" si="52"/>
        <v>538.495</v>
      </c>
      <c r="P123" s="56" t="e">
        <f t="shared" si="54"/>
        <v>#DIV/0!</v>
      </c>
      <c r="Q123" s="56">
        <f>N123-7985.28</f>
        <v>-7446.785</v>
      </c>
      <c r="R123" s="132">
        <f>N123/7985.28</f>
        <v>0.06743595716117656</v>
      </c>
    </row>
    <row r="124" spans="2:18" ht="47.25">
      <c r="B124" s="14" t="s">
        <v>124</v>
      </c>
      <c r="C124" s="102">
        <v>24062100</v>
      </c>
      <c r="D124" s="29">
        <v>0</v>
      </c>
      <c r="E124" s="29">
        <v>0</v>
      </c>
      <c r="F124" s="158">
        <v>0</v>
      </c>
      <c r="G124" s="45">
        <f t="shared" si="47"/>
        <v>0</v>
      </c>
      <c r="H124" s="36" t="e">
        <f t="shared" si="50"/>
        <v>#DIV/0!</v>
      </c>
      <c r="I124" s="55">
        <f t="shared" si="48"/>
        <v>0</v>
      </c>
      <c r="J124" s="55" t="e">
        <f>F124/D124*100</f>
        <v>#DIV/0!</v>
      </c>
      <c r="K124" s="55">
        <f>F124-0.16</f>
        <v>-0.16</v>
      </c>
      <c r="L124" s="55">
        <f>F124/0.16*100</f>
        <v>0</v>
      </c>
      <c r="M124" s="36">
        <f aca="true" t="shared" si="55" ref="M124:N128">E124</f>
        <v>0</v>
      </c>
      <c r="N124" s="36">
        <f t="shared" si="55"/>
        <v>0</v>
      </c>
      <c r="O124" s="49">
        <f t="shared" si="52"/>
        <v>0</v>
      </c>
      <c r="P124" s="55" t="e">
        <f t="shared" si="54"/>
        <v>#DIV/0!</v>
      </c>
      <c r="Q124" s="55">
        <f>N124-0.16</f>
        <v>-0.16</v>
      </c>
      <c r="R124" s="131">
        <f>N124/0.16</f>
        <v>0</v>
      </c>
    </row>
    <row r="125" spans="2:18" ht="15.75" hidden="1">
      <c r="B125" s="38"/>
      <c r="C125" s="102">
        <v>24062100</v>
      </c>
      <c r="D125" s="29">
        <v>0</v>
      </c>
      <c r="E125" s="29">
        <v>0</v>
      </c>
      <c r="F125" s="158">
        <v>0</v>
      </c>
      <c r="G125" s="45">
        <f t="shared" si="47"/>
        <v>0</v>
      </c>
      <c r="H125" s="36" t="e">
        <f t="shared" si="50"/>
        <v>#DIV/0!</v>
      </c>
      <c r="I125" s="58"/>
      <c r="J125" s="58"/>
      <c r="K125" s="58"/>
      <c r="L125" s="55">
        <f>F125</f>
        <v>0</v>
      </c>
      <c r="M125" s="36">
        <f t="shared" si="55"/>
        <v>0</v>
      </c>
      <c r="N125" s="36">
        <f t="shared" si="55"/>
        <v>0</v>
      </c>
      <c r="O125" s="49">
        <f t="shared" si="52"/>
        <v>0</v>
      </c>
      <c r="P125" s="58"/>
      <c r="Q125" s="58"/>
      <c r="R125" s="133"/>
    </row>
    <row r="126" spans="2:18" ht="15.75">
      <c r="B126" s="26" t="s">
        <v>146</v>
      </c>
      <c r="C126" s="99">
        <v>24061600</v>
      </c>
      <c r="D126" s="29">
        <v>0</v>
      </c>
      <c r="E126" s="29">
        <v>0</v>
      </c>
      <c r="F126" s="158">
        <v>0</v>
      </c>
      <c r="G126" s="45"/>
      <c r="H126" s="36"/>
      <c r="I126" s="58"/>
      <c r="J126" s="58"/>
      <c r="K126" s="49">
        <f>F126-8.76</f>
        <v>-8.76</v>
      </c>
      <c r="L126" s="55">
        <f>F126/8.76*100</f>
        <v>0</v>
      </c>
      <c r="M126" s="36">
        <f t="shared" si="55"/>
        <v>0</v>
      </c>
      <c r="N126" s="36">
        <f t="shared" si="55"/>
        <v>0</v>
      </c>
      <c r="O126" s="49"/>
      <c r="P126" s="58"/>
      <c r="Q126" s="58">
        <f>N126-8.76</f>
        <v>-8.76</v>
      </c>
      <c r="R126" s="133">
        <f>N126/8.76</f>
        <v>0</v>
      </c>
    </row>
    <row r="127" spans="2:18" ht="15.75">
      <c r="B127" s="26" t="s">
        <v>132</v>
      </c>
      <c r="C127" s="99">
        <v>19010000</v>
      </c>
      <c r="D127" s="29">
        <v>8588.509</v>
      </c>
      <c r="E127" s="29">
        <v>1431.418</v>
      </c>
      <c r="F127" s="158">
        <v>2.04</v>
      </c>
      <c r="G127" s="45">
        <f aca="true" t="shared" si="56" ref="G127:G134">F127-E127</f>
        <v>-1429.378</v>
      </c>
      <c r="H127" s="36">
        <f>F127/E127*100</f>
        <v>0.14251602257342022</v>
      </c>
      <c r="I127" s="55">
        <f aca="true" t="shared" si="57" ref="I127:I134">F127-D127</f>
        <v>-8586.469</v>
      </c>
      <c r="J127" s="55">
        <f>F127/D127*100</f>
        <v>0.023752667663269608</v>
      </c>
      <c r="K127" s="55">
        <f>F127-17.67</f>
        <v>-15.630000000000003</v>
      </c>
      <c r="L127" s="55">
        <f>F127/84.2*100</f>
        <v>2.422802850356294</v>
      </c>
      <c r="M127" s="36">
        <f t="shared" si="55"/>
        <v>1431.418</v>
      </c>
      <c r="N127" s="36">
        <f t="shared" si="55"/>
        <v>2.04</v>
      </c>
      <c r="O127" s="49">
        <f aca="true" t="shared" si="58" ref="O127:O134">N127-M127</f>
        <v>-1429.378</v>
      </c>
      <c r="P127" s="55">
        <f>N127/M127*100</f>
        <v>0.14251602257342022</v>
      </c>
      <c r="Q127" s="55">
        <f>N127-17.67</f>
        <v>-15.630000000000003</v>
      </c>
      <c r="R127" s="131">
        <f>N127/17.67</f>
        <v>0.11544991511035653</v>
      </c>
    </row>
    <row r="128" spans="2:18" ht="31.5">
      <c r="B128" s="26" t="s">
        <v>140</v>
      </c>
      <c r="C128" s="99">
        <v>19050000</v>
      </c>
      <c r="D128" s="29">
        <v>0</v>
      </c>
      <c r="E128" s="29">
        <v>0</v>
      </c>
      <c r="F128" s="158">
        <v>0</v>
      </c>
      <c r="G128" s="45">
        <f t="shared" si="56"/>
        <v>0</v>
      </c>
      <c r="H128" s="36"/>
      <c r="I128" s="55">
        <f t="shared" si="57"/>
        <v>0</v>
      </c>
      <c r="J128" s="55"/>
      <c r="K128" s="55">
        <f>F128-(-0.21)</f>
        <v>0.21</v>
      </c>
      <c r="L128" s="55"/>
      <c r="M128" s="36">
        <f t="shared" si="55"/>
        <v>0</v>
      </c>
      <c r="N128" s="36">
        <f t="shared" si="55"/>
        <v>0</v>
      </c>
      <c r="O128" s="49">
        <f t="shared" si="58"/>
        <v>0</v>
      </c>
      <c r="P128" s="55"/>
      <c r="Q128" s="55">
        <f>N128-(-0.21)</f>
        <v>0.21</v>
      </c>
      <c r="R128" s="131"/>
    </row>
    <row r="129" spans="2:18" ht="31.5">
      <c r="B129" s="33" t="s">
        <v>134</v>
      </c>
      <c r="C129" s="99"/>
      <c r="D129" s="34">
        <f>D127+D124+D128+D126</f>
        <v>8588.509</v>
      </c>
      <c r="E129" s="34">
        <f>E127+E124+E128+E126</f>
        <v>1431.418</v>
      </c>
      <c r="F129" s="110">
        <f>F127+F124+F128+F126</f>
        <v>2.04</v>
      </c>
      <c r="G129" s="57">
        <f t="shared" si="56"/>
        <v>-1429.378</v>
      </c>
      <c r="H129" s="67">
        <f>F129/E129*100</f>
        <v>0.14251602257342022</v>
      </c>
      <c r="I129" s="56">
        <f t="shared" si="57"/>
        <v>-8586.469</v>
      </c>
      <c r="J129" s="56">
        <f>F129/D129*100</f>
        <v>0.023752667663269608</v>
      </c>
      <c r="K129" s="56">
        <f>F129-26.38</f>
        <v>-24.34</v>
      </c>
      <c r="L129" s="56">
        <f>F129/26.38*100</f>
        <v>7.733131159969675</v>
      </c>
      <c r="M129" s="57">
        <f>M124+M127+M128+M126</f>
        <v>1431.418</v>
      </c>
      <c r="N129" s="57">
        <f>N124+N127+N128+N126</f>
        <v>2.04</v>
      </c>
      <c r="O129" s="56">
        <f t="shared" si="58"/>
        <v>-1429.378</v>
      </c>
      <c r="P129" s="56">
        <f>N129/M129*100</f>
        <v>0.14251602257342022</v>
      </c>
      <c r="Q129" s="56">
        <f>N129-26.38</f>
        <v>-24.34</v>
      </c>
      <c r="R129" s="130">
        <f>N129/26.38</f>
        <v>0.07733131159969675</v>
      </c>
    </row>
    <row r="130" spans="2:18" ht="31.5">
      <c r="B130" s="14" t="s">
        <v>125</v>
      </c>
      <c r="C130" s="61">
        <v>24110900</v>
      </c>
      <c r="D130" s="29">
        <v>0</v>
      </c>
      <c r="E130" s="29">
        <v>0</v>
      </c>
      <c r="F130" s="29">
        <v>0</v>
      </c>
      <c r="G130" s="45">
        <f>F130-E130</f>
        <v>0</v>
      </c>
      <c r="H130" s="36" t="e">
        <f>F130/E130*100</f>
        <v>#DIV/0!</v>
      </c>
      <c r="I130" s="55">
        <f>F130-D130</f>
        <v>0</v>
      </c>
      <c r="J130" s="55" t="e">
        <f>F130/D130*100</f>
        <v>#DIV/0!</v>
      </c>
      <c r="K130" s="55">
        <f>F130-0.45</f>
        <v>-0.45</v>
      </c>
      <c r="L130" s="55">
        <f>F130/0.45*100</f>
        <v>0</v>
      </c>
      <c r="M130" s="36">
        <f aca="true" t="shared" si="59" ref="M130:N132">E130</f>
        <v>0</v>
      </c>
      <c r="N130" s="36">
        <f t="shared" si="59"/>
        <v>0</v>
      </c>
      <c r="O130" s="49">
        <f>N130-M130</f>
        <v>0</v>
      </c>
      <c r="P130" s="55" t="e">
        <f>N130/M130*100</f>
        <v>#DIV/0!</v>
      </c>
      <c r="Q130" s="55">
        <f>N130-0.45</f>
        <v>-0.45</v>
      </c>
      <c r="R130" s="131">
        <f>N130/0.45</f>
        <v>0</v>
      </c>
    </row>
    <row r="131" spans="2:18" ht="47.25">
      <c r="B131" s="26" t="s">
        <v>121</v>
      </c>
      <c r="C131" s="99">
        <v>21110000</v>
      </c>
      <c r="D131" s="29">
        <v>0</v>
      </c>
      <c r="E131" s="29">
        <v>0</v>
      </c>
      <c r="F131" s="29">
        <v>0</v>
      </c>
      <c r="G131" s="45"/>
      <c r="H131" s="36"/>
      <c r="I131" s="55"/>
      <c r="J131" s="55"/>
      <c r="K131" s="55"/>
      <c r="L131" s="55"/>
      <c r="M131" s="36">
        <f t="shared" si="59"/>
        <v>0</v>
      </c>
      <c r="N131" s="36">
        <f t="shared" si="59"/>
        <v>0</v>
      </c>
      <c r="O131" s="49"/>
      <c r="P131" s="55"/>
      <c r="Q131" s="55">
        <f>N131-0</f>
        <v>0</v>
      </c>
      <c r="R131" s="131"/>
    </row>
    <row r="132" spans="2:18" ht="31.5">
      <c r="B132" s="26" t="s">
        <v>113</v>
      </c>
      <c r="C132" s="99">
        <v>50110000</v>
      </c>
      <c r="D132" s="29">
        <v>0</v>
      </c>
      <c r="E132" s="29">
        <v>0</v>
      </c>
      <c r="F132" s="29">
        <v>0</v>
      </c>
      <c r="G132" s="45">
        <f t="shared" si="56"/>
        <v>0</v>
      </c>
      <c r="H132" s="36" t="e">
        <f>F132/E132*100</f>
        <v>#DIV/0!</v>
      </c>
      <c r="I132" s="55">
        <f t="shared" si="57"/>
        <v>0</v>
      </c>
      <c r="J132" s="55" t="e">
        <f>F132/D132*100</f>
        <v>#DIV/0!</v>
      </c>
      <c r="K132" s="55"/>
      <c r="L132" s="55"/>
      <c r="M132" s="36">
        <f t="shared" si="59"/>
        <v>0</v>
      </c>
      <c r="N132" s="36">
        <f t="shared" si="59"/>
        <v>0</v>
      </c>
      <c r="O132" s="49">
        <f t="shared" si="58"/>
        <v>0</v>
      </c>
      <c r="P132" s="55"/>
      <c r="Q132" s="55">
        <f>N132-(-60.1)</f>
        <v>60.1</v>
      </c>
      <c r="R132" s="131"/>
    </row>
    <row r="133" spans="2:18" ht="23.25" customHeight="1">
      <c r="B133" s="17" t="s">
        <v>114</v>
      </c>
      <c r="C133" s="90"/>
      <c r="D133" s="27">
        <f>D116+D130+D123+D129+D132+D131</f>
        <v>13021.666000000001</v>
      </c>
      <c r="E133" s="27">
        <f>E116+E130+E123+E129+E132+E131</f>
        <v>2170.277</v>
      </c>
      <c r="F133" s="162">
        <f>F116+F130+F123+F129+F132+F131</f>
        <v>556.204</v>
      </c>
      <c r="G133" s="46">
        <f t="shared" si="56"/>
        <v>-1614.073</v>
      </c>
      <c r="H133" s="47">
        <f>F133/E133*100</f>
        <v>25.62824929720953</v>
      </c>
      <c r="I133" s="32">
        <f t="shared" si="57"/>
        <v>-12465.462000000001</v>
      </c>
      <c r="J133" s="32">
        <f>F133/D133*100</f>
        <v>4.271373570785795</v>
      </c>
      <c r="K133" s="32">
        <f>F133-8104.96</f>
        <v>-7548.756</v>
      </c>
      <c r="L133" s="32">
        <f>F133/8104.96*100</f>
        <v>6.862513818698673</v>
      </c>
      <c r="M133" s="27">
        <f>M116+M130+M123+M129+M132+M131</f>
        <v>2170.277</v>
      </c>
      <c r="N133" s="27">
        <f>N116+N130+N123+N129+N132+N131</f>
        <v>556.204</v>
      </c>
      <c r="O133" s="32">
        <f t="shared" si="58"/>
        <v>-1614.073</v>
      </c>
      <c r="P133" s="32">
        <f>N133/M133*100</f>
        <v>25.62824929720953</v>
      </c>
      <c r="Q133" s="32">
        <f>N133-8104.96</f>
        <v>-7548.756</v>
      </c>
      <c r="R133" s="129">
        <f>N133/8104.96</f>
        <v>0.06862513818698673</v>
      </c>
    </row>
    <row r="134" spans="2:18" ht="18.75">
      <c r="B134" s="24" t="s">
        <v>115</v>
      </c>
      <c r="C134" s="90"/>
      <c r="D134" s="27">
        <f>D106+D133</f>
        <v>249771.666</v>
      </c>
      <c r="E134" s="27">
        <f>E106+E133</f>
        <v>39896.277</v>
      </c>
      <c r="F134" s="162">
        <f>F106+F133</f>
        <v>7183.714</v>
      </c>
      <c r="G134" s="46">
        <f t="shared" si="56"/>
        <v>-32712.563000000002</v>
      </c>
      <c r="H134" s="47">
        <f>F134/E134*100</f>
        <v>18.005975845816387</v>
      </c>
      <c r="I134" s="32">
        <f t="shared" si="57"/>
        <v>-242587.952</v>
      </c>
      <c r="J134" s="32">
        <f>F134/D134*100</f>
        <v>2.8761124570470695</v>
      </c>
      <c r="K134" s="32">
        <f>F134-42872.96</f>
        <v>-35689.246</v>
      </c>
      <c r="L134" s="32">
        <f>F134/42872.96*100</f>
        <v>16.75581532042574</v>
      </c>
      <c r="M134" s="18">
        <f>M106+M133</f>
        <v>39896.277</v>
      </c>
      <c r="N134" s="18">
        <f>N106+N133</f>
        <v>7183.714</v>
      </c>
      <c r="O134" s="32">
        <f t="shared" si="58"/>
        <v>-32712.563000000002</v>
      </c>
      <c r="P134" s="32">
        <f>N134/M134*100</f>
        <v>18.005975845816387</v>
      </c>
      <c r="Q134" s="32">
        <f>N134-42872.96</f>
        <v>-35689.246</v>
      </c>
      <c r="R134" s="129">
        <f>N134/42872.96</f>
        <v>0.1675581532042574</v>
      </c>
    </row>
    <row r="135" spans="2:14" ht="15.75">
      <c r="B135" s="23" t="s">
        <v>117</v>
      </c>
      <c r="N135" s="30"/>
    </row>
    <row r="136" spans="2:4" ht="15.75">
      <c r="B136" s="4" t="s">
        <v>119</v>
      </c>
      <c r="C136" s="103">
        <v>17</v>
      </c>
      <c r="D136" s="4" t="s">
        <v>118</v>
      </c>
    </row>
    <row r="137" spans="2:17" ht="31.5">
      <c r="B137" s="73" t="s">
        <v>154</v>
      </c>
      <c r="C137" s="35">
        <f>IF(O106&lt;0,ABS(O106/C136),0)</f>
        <v>1829.3229411764705</v>
      </c>
      <c r="D137" s="4" t="s">
        <v>104</v>
      </c>
      <c r="G137" s="189"/>
      <c r="H137" s="189"/>
      <c r="I137" s="189"/>
      <c r="J137" s="189"/>
      <c r="K137" s="117"/>
      <c r="L137" s="117"/>
      <c r="P137" s="30"/>
      <c r="Q137" s="30"/>
    </row>
    <row r="138" spans="2:15" ht="34.5" customHeight="1">
      <c r="B138" s="74" t="s">
        <v>159</v>
      </c>
      <c r="C138" s="113">
        <v>42012</v>
      </c>
      <c r="D138" s="35">
        <v>720.3</v>
      </c>
      <c r="N138" s="190"/>
      <c r="O138" s="190"/>
    </row>
    <row r="139" spans="3:15" ht="15.75">
      <c r="C139" s="113">
        <v>42010</v>
      </c>
      <c r="D139" s="35">
        <v>5907.2</v>
      </c>
      <c r="F139" s="3" t="s">
        <v>166</v>
      </c>
      <c r="G139" s="191" t="s">
        <v>151</v>
      </c>
      <c r="H139" s="191"/>
      <c r="I139" s="108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13">
        <v>42009</v>
      </c>
      <c r="D140" s="35">
        <v>0</v>
      </c>
      <c r="G140" s="148" t="s">
        <v>155</v>
      </c>
      <c r="H140" s="148"/>
      <c r="I140" s="105">
        <v>0</v>
      </c>
      <c r="J140" s="194" t="s">
        <v>162</v>
      </c>
      <c r="K140" s="194"/>
      <c r="L140" s="194"/>
      <c r="M140" s="194"/>
      <c r="N140" s="190"/>
      <c r="O140" s="190"/>
    </row>
    <row r="141" spans="7:13" ht="15.75" customHeight="1">
      <c r="G141" s="191" t="s">
        <v>148</v>
      </c>
      <c r="H141" s="191"/>
      <c r="I141" s="105">
        <v>0</v>
      </c>
      <c r="J141" s="192" t="s">
        <v>163</v>
      </c>
      <c r="K141" s="192"/>
      <c r="L141" s="192"/>
      <c r="M141" s="192"/>
    </row>
    <row r="142" spans="2:13" ht="18.75" customHeight="1">
      <c r="B142" s="195" t="s">
        <v>160</v>
      </c>
      <c r="C142" s="196"/>
      <c r="D142" s="110">
        <v>111410.62</v>
      </c>
      <c r="E142" s="75"/>
      <c r="F142" s="159" t="s">
        <v>147</v>
      </c>
      <c r="G142" s="191" t="s">
        <v>149</v>
      </c>
      <c r="H142" s="191"/>
      <c r="I142" s="109">
        <v>97585.4</v>
      </c>
      <c r="J142" s="192" t="s">
        <v>164</v>
      </c>
      <c r="K142" s="192"/>
      <c r="L142" s="192"/>
      <c r="M142" s="192"/>
    </row>
    <row r="143" spans="7:12" ht="9.75" customHeight="1">
      <c r="G143" s="197"/>
      <c r="H143" s="197"/>
      <c r="I143" s="92"/>
      <c r="J143" s="93"/>
      <c r="K143" s="93"/>
      <c r="L143" s="93"/>
    </row>
    <row r="144" spans="2:12" ht="22.5" customHeight="1">
      <c r="B144" s="198" t="s">
        <v>167</v>
      </c>
      <c r="C144" s="199"/>
      <c r="D144" s="112">
        <v>0</v>
      </c>
      <c r="E144" s="72" t="s">
        <v>104</v>
      </c>
      <c r="G144" s="197"/>
      <c r="H144" s="197"/>
      <c r="I144" s="92"/>
      <c r="J144" s="93"/>
      <c r="K144" s="93"/>
      <c r="L144" s="93"/>
    </row>
    <row r="145" spans="4:15" ht="15.75">
      <c r="D145" s="107"/>
      <c r="N145" s="197"/>
      <c r="O145" s="197"/>
    </row>
    <row r="146" spans="4:15" ht="15.75">
      <c r="D146" s="106"/>
      <c r="I146" s="35"/>
      <c r="N146" s="200"/>
      <c r="O146" s="200"/>
    </row>
    <row r="147" spans="14:15" ht="15.75">
      <c r="N147" s="197"/>
      <c r="O147" s="197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2015-01-05T08:03:59Z</cp:lastPrinted>
  <dcterms:created xsi:type="dcterms:W3CDTF">2003-07-28T11:27:56Z</dcterms:created>
  <dcterms:modified xsi:type="dcterms:W3CDTF">2015-01-09T13:47:43Z</dcterms:modified>
  <cp:category/>
  <cp:version/>
  <cp:contentType/>
  <cp:contentStatus/>
</cp:coreProperties>
</file>